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4" activeTab="10"/>
  </bookViews>
  <sheets>
    <sheet name="Берег. 28" sheetId="1" r:id="rId1"/>
    <sheet name="Боров.10" sheetId="2" r:id="rId2"/>
    <sheet name="Боров.12" sheetId="3" r:id="rId3"/>
    <sheet name="Боров.14" sheetId="4" r:id="rId4"/>
    <sheet name="Боров.15" sheetId="5" r:id="rId5"/>
    <sheet name="В.Серг.19" sheetId="6" r:id="rId6"/>
    <sheet name="В.Серг.19а" sheetId="7" r:id="rId7"/>
    <sheet name="В.Серг. 19б" sheetId="8" r:id="rId8"/>
    <sheet name="Гагарина2" sheetId="9" r:id="rId9"/>
    <sheet name="Горелова 3" sheetId="10" r:id="rId10"/>
    <sheet name="Горелова5" sheetId="11" r:id="rId11"/>
    <sheet name="Горелова 8" sheetId="12" r:id="rId12"/>
    <sheet name="Горелова 9" sheetId="13" r:id="rId13"/>
    <sheet name="Граф.30а" sheetId="14" r:id="rId14"/>
    <sheet name="Дарв.1а" sheetId="15" r:id="rId15"/>
    <sheet name="Дзерж.2" sheetId="16" r:id="rId16"/>
    <sheet name="Дзерж.3" sheetId="17" r:id="rId17"/>
    <sheet name="Дзерж.4" sheetId="18" r:id="rId18"/>
    <sheet name="Дзерж.5" sheetId="19" r:id="rId19"/>
    <sheet name="Дзерж.6" sheetId="20" r:id="rId20"/>
    <sheet name="Каолин. 16" sheetId="21" r:id="rId21"/>
    <sheet name="Каолин.8" sheetId="22" r:id="rId22"/>
    <sheet name="Коопер.4" sheetId="23" r:id="rId23"/>
    <sheet name="Коопер.5" sheetId="24" r:id="rId24"/>
    <sheet name="Крест.144" sheetId="25" r:id="rId25"/>
    <sheet name="Ленин.22а" sheetId="26" r:id="rId26"/>
    <sheet name="Ленин.22б" sheetId="27" r:id="rId27"/>
    <sheet name="Ленин. 22в" sheetId="28" r:id="rId28"/>
    <sheet name="Ленин.24" sheetId="29" r:id="rId29"/>
    <sheet name="Ленин.27" sheetId="30" r:id="rId30"/>
    <sheet name="Ленин.27а" sheetId="31" r:id="rId31"/>
    <sheet name="Ленин.29" sheetId="32" r:id="rId32"/>
    <sheet name="Ленин. 31" sheetId="33" r:id="rId33"/>
    <sheet name="Ленин.31 А " sheetId="34" r:id="rId34"/>
    <sheet name="Ленин. 33" sheetId="35" r:id="rId35"/>
    <sheet name="Ленин. 35" sheetId="36" r:id="rId36"/>
    <sheet name="Ленин.37" sheetId="37" r:id="rId37"/>
    <sheet name="Метал. 1А" sheetId="38" r:id="rId38"/>
    <sheet name="Металл. 2" sheetId="39" r:id="rId39"/>
    <sheet name="Огнеуп. 14" sheetId="40" r:id="rId40"/>
    <sheet name="О. Урала 4" sheetId="41" r:id="rId41"/>
    <sheet name="Побед. 1" sheetId="42" r:id="rId42"/>
    <sheet name="Побед.2А" sheetId="43" r:id="rId43"/>
    <sheet name="Побед.2Б" sheetId="44" r:id="rId44"/>
    <sheet name="Побед.2В" sheetId="45" r:id="rId45"/>
    <sheet name="Побед.2Г" sheetId="46" r:id="rId46"/>
    <sheet name="Побед. 4" sheetId="47" r:id="rId47"/>
    <sheet name="Побед.4А" sheetId="48" r:id="rId48"/>
    <sheet name="Побед.4 Б" sheetId="49" r:id="rId49"/>
    <sheet name="Побед. 5" sheetId="50" r:id="rId50"/>
    <sheet name="Побед. 7" sheetId="51" r:id="rId51"/>
    <sheet name="Побед.8" sheetId="52" r:id="rId52"/>
    <sheet name="Побед. 58" sheetId="53" r:id="rId53"/>
    <sheet name="Респ. 5" sheetId="54" r:id="rId54"/>
    <sheet name="Респ.6" sheetId="55" r:id="rId55"/>
    <sheet name="Респ.7" sheetId="56" r:id="rId56"/>
    <sheet name="Респ. 8" sheetId="57" r:id="rId57"/>
    <sheet name="Сверд. 115" sheetId="58" r:id="rId58"/>
    <sheet name="Сверд.133А" sheetId="59" r:id="rId59"/>
    <sheet name="Сверд.135" sheetId="60" r:id="rId60"/>
    <sheet name="СВерд. 92" sheetId="61" r:id="rId61"/>
    <sheet name="Сойман.15" sheetId="62" r:id="rId62"/>
    <sheet name="Соц.Шт. 3А" sheetId="63" r:id="rId63"/>
    <sheet name="Соц. Шт. 3Б" sheetId="64" r:id="rId64"/>
    <sheet name="ЧГРЭС 4" sheetId="65" r:id="rId65"/>
    <sheet name="Школьн. 3" sheetId="66" r:id="rId66"/>
    <sheet name="Школьн. 5" sheetId="67" r:id="rId67"/>
    <sheet name="Щорса 50" sheetId="68" r:id="rId68"/>
    <sheet name="Ю.Ич. 150" sheetId="69" r:id="rId69"/>
    <sheet name="Ю. Ич.177" sheetId="70" r:id="rId70"/>
    <sheet name="Ю. Ич.179" sheetId="71" r:id="rId71"/>
    <sheet name="Ю.Ич. 181" sheetId="72" r:id="rId72"/>
  </sheets>
  <definedNames/>
  <calcPr fullCalcOnLoad="1" fullPrecision="0" refMode="R1C1"/>
</workbook>
</file>

<file path=xl/sharedStrings.xml><?xml version="1.0" encoding="utf-8"?>
<sst xmlns="http://schemas.openxmlformats.org/spreadsheetml/2006/main" count="5172" uniqueCount="295">
  <si>
    <t>Уборка придомовой территории</t>
  </si>
  <si>
    <t xml:space="preserve">Отчет  ООО "УЖХ" по выполнению условий </t>
  </si>
  <si>
    <t>договора управления  многоквартирного дома</t>
  </si>
  <si>
    <t>по статье  "содержание и текущий ремонт"</t>
  </si>
  <si>
    <t>за 2011год.</t>
  </si>
  <si>
    <t>ул. Береговая,   д.  28</t>
  </si>
  <si>
    <t>Общая площадь дома</t>
  </si>
  <si>
    <t>кв.м.</t>
  </si>
  <si>
    <t>Доход:</t>
  </si>
  <si>
    <t>руб.</t>
  </si>
  <si>
    <t>Оплата жильцами составила</t>
  </si>
  <si>
    <t>%</t>
  </si>
  <si>
    <t>Расходы по видам услуг</t>
  </si>
  <si>
    <t>Аварийно-диспетчерская служба</t>
  </si>
  <si>
    <t>Освещение мест общего пользования (Челябэнергосбыт)</t>
  </si>
  <si>
    <t>Уборка лестничных клеток</t>
  </si>
  <si>
    <t>Техническое обслуживание систем: ГВС, ХВС, отопления, канализации, электроснабжения; кровли</t>
  </si>
  <si>
    <t>Вывоз, утилизация мусора (Спецсервис)</t>
  </si>
  <si>
    <t>Обслуживание внутридомового газового оборудования (Севергазком)</t>
  </si>
  <si>
    <t xml:space="preserve">Расходы управления </t>
  </si>
  <si>
    <t>Текущий ремонт и благоустройство</t>
  </si>
  <si>
    <t xml:space="preserve">Начислено  жителям за год </t>
  </si>
  <si>
    <t xml:space="preserve">Дератизация, дезинсекция </t>
  </si>
  <si>
    <t>в том числе: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</si>
  <si>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</si>
  <si>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</si>
  <si>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</si>
  <si>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</si>
  <si>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</si>
  <si>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</si>
  <si>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</si>
  <si>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</si>
  <si>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</si>
  <si>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</si>
  <si>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замена неисправных участков эл. сети</t>
  </si>
  <si>
    <t>Остаток средств  на 01.01.2012г.</t>
  </si>
  <si>
    <t>ул. Боровая,   д.  10</t>
  </si>
  <si>
    <t>Прочистка засоренных вентиляционных каналов</t>
  </si>
  <si>
    <t>перекрытие(открытие) стояка ХВС или отопления</t>
  </si>
  <si>
    <t>Перекрытие(открытие) стояка ХВС или отопления, уплотнение сгонов</t>
  </si>
  <si>
    <t>Замена канализационных труб, фасонных частей</t>
  </si>
  <si>
    <t xml:space="preserve">    </t>
  </si>
  <si>
    <t>ул. Боровая,   д.  12</t>
  </si>
  <si>
    <t>Откачка подвала</t>
  </si>
  <si>
    <t>Прочистка засоров канализации</t>
  </si>
  <si>
    <t>ул. Боровая,   д.  14</t>
  </si>
  <si>
    <t>Отогрев замерших труб отопления</t>
  </si>
  <si>
    <t xml:space="preserve">Остановка и запуск отопления </t>
  </si>
  <si>
    <r>
      <t xml:space="preserve">Смена трубы до 1,2м </t>
    </r>
    <r>
      <rPr>
        <sz val="12"/>
        <rFont val="Times New Roman"/>
        <family val="1"/>
      </rPr>
      <t>Ø</t>
    </r>
    <r>
      <rPr>
        <i/>
        <sz val="12"/>
        <rFont val="Times New Roman"/>
        <family val="1"/>
      </rPr>
      <t xml:space="preserve"> 32мм</t>
    </r>
  </si>
  <si>
    <t>ул. Боровая,   д.  15</t>
  </si>
  <si>
    <t>Замена труб. отопления</t>
  </si>
  <si>
    <t>Замена задвижки отопления, ХВС, ГВС</t>
  </si>
  <si>
    <t xml:space="preserve">Смена вентилей, фланцев, прокладок </t>
  </si>
  <si>
    <t>Перекрытие (открытие) стояка ХВС, ГВС, отопления</t>
  </si>
  <si>
    <t>Остановка, запуск (перепуск) отопления</t>
  </si>
  <si>
    <t>Электротехнические работы: ремонт  и замена  ламп, выключателя, розетки, электропроводки, патронов, предохранителей, вставок, изоляторов, пробок</t>
  </si>
  <si>
    <t>ул. В. Сергеевой ,   д.  19</t>
  </si>
  <si>
    <t xml:space="preserve">Бетонирование площадки под мусорные баки </t>
  </si>
  <si>
    <t>ул. В. Сергеевой ,   д.  19-А</t>
  </si>
  <si>
    <t>ул. В. Сергеевой ,   д.  19-Б</t>
  </si>
  <si>
    <t>ул. Гагарина,   д.  2</t>
  </si>
  <si>
    <t>Установка кранов для спуска воздуха из системы</t>
  </si>
  <si>
    <t>Закрытие подвала</t>
  </si>
  <si>
    <t>ул. Горелова,   д.  3</t>
  </si>
  <si>
    <t>Укос травы</t>
  </si>
  <si>
    <t>Бетонирование площадки перед подъездом</t>
  </si>
  <si>
    <t>Очистка кровли от снега</t>
  </si>
  <si>
    <t>Замена оконных стекол</t>
  </si>
  <si>
    <t>Ремонт штукатурки внутренних стен по бетону</t>
  </si>
  <si>
    <t>ул. Горелова,   д.  5</t>
  </si>
  <si>
    <t>Скалывание сосулек с кромки кровли</t>
  </si>
  <si>
    <t>Ремонт кровли</t>
  </si>
  <si>
    <t>Остановка, запуск, перепуск отопления</t>
  </si>
  <si>
    <t>Замена задвижки отопления , ХВС, ГВС.</t>
  </si>
  <si>
    <t>Ликвидация воздушных пробок в системе отопления</t>
  </si>
  <si>
    <t>Перекрытие, открытие стояка ХВС, ГВС, отопления</t>
  </si>
  <si>
    <t>Замена, установка  прокладок, заглушки, вентиля</t>
  </si>
  <si>
    <t>ул. Горелова,   д.  8</t>
  </si>
  <si>
    <t>Ремонт межпанельных швов</t>
  </si>
  <si>
    <t xml:space="preserve">Замена трассы ХВС </t>
  </si>
  <si>
    <t xml:space="preserve">Ремонт подъездов </t>
  </si>
  <si>
    <t>Вывоз мусора</t>
  </si>
  <si>
    <t xml:space="preserve">Закрытие чердаков, подвалов </t>
  </si>
  <si>
    <t xml:space="preserve">Изготовление поручня </t>
  </si>
  <si>
    <t>Пробивка отдушин в подвале</t>
  </si>
  <si>
    <t xml:space="preserve">Замена канализационных труб, фасонных частей </t>
  </si>
  <si>
    <t>Прочистка вентилей, фильтров, отводов на ХВС, ГВС</t>
  </si>
  <si>
    <t>Электротехнические работы: ремонт  и замена выключателя, розетки, электропроводки, предохранителей, вставок, изоляторов, патронов , пробок</t>
  </si>
  <si>
    <t xml:space="preserve">Замена вентилей </t>
  </si>
  <si>
    <t>Штукатурка фасада, побелка</t>
  </si>
  <si>
    <t xml:space="preserve">Скалывание сосулек с кромки кровли </t>
  </si>
  <si>
    <t xml:space="preserve">Уплотнение сгонов, установка заглушки  на ХВС или ГВС </t>
  </si>
  <si>
    <t>Прочистка засора канализационных стояков</t>
  </si>
  <si>
    <t>Замена  вентилей, фильтров, отводов на ХВС, ГВС</t>
  </si>
  <si>
    <t>ул. Горелова,   д. 9</t>
  </si>
  <si>
    <t xml:space="preserve">Восстановление подъездного отопления </t>
  </si>
  <si>
    <t xml:space="preserve">Закрытие подвальных окон железом </t>
  </si>
  <si>
    <t>Изготовление металлической лестницы в подвал</t>
  </si>
  <si>
    <t>ул. Графитовая,   д. 30-А</t>
  </si>
  <si>
    <t>Сварка на трубе ХВС, ГВС, отопление</t>
  </si>
  <si>
    <t>Закрытие чердаков, подвалов</t>
  </si>
  <si>
    <t>ул. Дарвина,   д. 1-А</t>
  </si>
  <si>
    <t>Латочный ремонт кровли</t>
  </si>
  <si>
    <t>ул. Дзержинского,   д.  2</t>
  </si>
  <si>
    <t xml:space="preserve">Замена трассы отопления </t>
  </si>
  <si>
    <t>Наполнение песком песочниц</t>
  </si>
  <si>
    <t>Смена дверных петель</t>
  </si>
  <si>
    <t>Замена задвижек,  вентилей, фильтров, отводов на ХВС, ГВС</t>
  </si>
  <si>
    <t>Установка насоса в подвале</t>
  </si>
  <si>
    <t xml:space="preserve">Очистка кровли от снега </t>
  </si>
  <si>
    <t xml:space="preserve">Замена оконных стекол </t>
  </si>
  <si>
    <t xml:space="preserve">Ремонт канализационных труб, фасонных частей </t>
  </si>
  <si>
    <t xml:space="preserve">Монтаж водоподогревателя (ловаля) </t>
  </si>
  <si>
    <t>Прочистка канализации</t>
  </si>
  <si>
    <t>ул. Дзержинского,   д.  3</t>
  </si>
  <si>
    <t>ул. Дзержинского,   д. 4</t>
  </si>
  <si>
    <t xml:space="preserve">Заливка бетоном лестничного марша </t>
  </si>
  <si>
    <t>Закрытие чердаков , подвалов</t>
  </si>
  <si>
    <t>Смена дверной пружины (доводчика)</t>
  </si>
  <si>
    <t>ул. Дзержинского,   д. 5</t>
  </si>
  <si>
    <t>Приобретение и установка насоса</t>
  </si>
  <si>
    <t xml:space="preserve">Замена водоподогревателя  </t>
  </si>
  <si>
    <t>ул. Соймановский ,   д. 15</t>
  </si>
  <si>
    <t xml:space="preserve">Изготовление и установка железной двери в подвал </t>
  </si>
  <si>
    <t>Изготовление и установка скамейки</t>
  </si>
  <si>
    <t xml:space="preserve">Замена стояка отопления </t>
  </si>
  <si>
    <t>Задолженность жильцов за ЖКУ на  01.03.2012г. составляет:</t>
  </si>
  <si>
    <t>ул. Дзержинского,   д. 6</t>
  </si>
  <si>
    <t>Оштукатуривание дверной коробки, запенивание щелей</t>
  </si>
  <si>
    <t>Частичная замена системы канализации в подвале</t>
  </si>
  <si>
    <t>Установка воздушников ( кранов) на  системе отопления</t>
  </si>
  <si>
    <t>Замена задвижек отопления, ХВС,ГВС</t>
  </si>
  <si>
    <t>Замена  прокладок, установка заглушек, вентилей в подвале</t>
  </si>
  <si>
    <t>Обслуживание внутридомового газового оборудования                                  (Севергазком)</t>
  </si>
  <si>
    <t>Промывка трубопроводов центрального отопления</t>
  </si>
  <si>
    <t xml:space="preserve">Испытание трубопроводов центрального отопления </t>
  </si>
  <si>
    <t>Задолженность жильцов за коммунальные услуги на  01.03.2012г.  составляет:</t>
  </si>
  <si>
    <t>Расходы по видам услуг:</t>
  </si>
  <si>
    <t>Замена прокладок, установка заглушки, вентилей в подвале</t>
  </si>
  <si>
    <t xml:space="preserve">Работы по установке водоподогревателя  </t>
  </si>
  <si>
    <t xml:space="preserve">Смена дверных петель </t>
  </si>
  <si>
    <t>Установка насоса</t>
  </si>
  <si>
    <t>ул. Каолиновая ,   д.  16</t>
  </si>
  <si>
    <t>Прочистка дворовой канализационной сети</t>
  </si>
  <si>
    <t>ул. Каолиновая,   д.  8</t>
  </si>
  <si>
    <t xml:space="preserve">Замена стояков ГВС </t>
  </si>
  <si>
    <t xml:space="preserve">Замена  системы  ХВС </t>
  </si>
  <si>
    <t>Частичный ремонт кровли</t>
  </si>
  <si>
    <t xml:space="preserve">Демонтаж насоса для отопления </t>
  </si>
  <si>
    <t>ул. Кооперативная ,   д.  4</t>
  </si>
  <si>
    <t xml:space="preserve">Ремонт подъездного дверного блока </t>
  </si>
  <si>
    <t>Ремонт, изготовление,  окрашивание  скамеек</t>
  </si>
  <si>
    <t xml:space="preserve">Установка насоса в подвале </t>
  </si>
  <si>
    <t>Демонтаж, монтаж водоподогревателя</t>
  </si>
  <si>
    <t>Замена водоподогревателя</t>
  </si>
  <si>
    <t xml:space="preserve">Устранение течи в подвале </t>
  </si>
  <si>
    <t>ул. Кооперативная,   д.  5</t>
  </si>
  <si>
    <t xml:space="preserve">Замена вентилей на стояках отопления </t>
  </si>
  <si>
    <t>Замена электрического кабеля</t>
  </si>
  <si>
    <t>ул. Крестьянская ,   д. 144</t>
  </si>
  <si>
    <t xml:space="preserve">Замена вентилей, запорной арматуры  на стояках отопления </t>
  </si>
  <si>
    <t>Заделка подвальных окон фанерой</t>
  </si>
  <si>
    <t>Смена дверной пружины</t>
  </si>
  <si>
    <t xml:space="preserve">Демонтаж, монтаж водоподогревателя </t>
  </si>
  <si>
    <t>ул. Ленина ,   д. 22-А</t>
  </si>
  <si>
    <t>ул. Ленина,   д.  22- Б</t>
  </si>
  <si>
    <t>ул.Ленина,   д.  22-В</t>
  </si>
  <si>
    <t>Врезка кранов на стояки ХВС, ГВС</t>
  </si>
  <si>
    <t>Ремонтные работы на трассе отопления</t>
  </si>
  <si>
    <t>Частичный  ремонт  кровли</t>
  </si>
  <si>
    <t xml:space="preserve">Замена задвижки отопления , ХВС, ГВС </t>
  </si>
  <si>
    <t>Монтаж, демонтаж водоподогревателя</t>
  </si>
  <si>
    <t>ул. Ленина ,   д.  24</t>
  </si>
  <si>
    <t>ул. Ленина,   д.  27</t>
  </si>
  <si>
    <t>Ремонт подъезда, устройство деревянного тамбура</t>
  </si>
  <si>
    <t>Смена дверной ручки-скобы</t>
  </si>
  <si>
    <t>ул. Ленина,   д. 27-А</t>
  </si>
  <si>
    <t>Ремонт фундамента и отмостки</t>
  </si>
  <si>
    <t>ул. Ленина,   д. 29</t>
  </si>
  <si>
    <t>Ремонт чердачных деревянных перекрытий</t>
  </si>
  <si>
    <t xml:space="preserve">Штукатурка, побелка стен побетону </t>
  </si>
  <si>
    <t>ул. Ленина,   д.  31</t>
  </si>
  <si>
    <t xml:space="preserve">Замена задвижек отопления , ХВС, ГВС </t>
  </si>
  <si>
    <t>ул. Ленина ,   д. 31-А</t>
  </si>
  <si>
    <t>Закрытие подвальных окон фанерой</t>
  </si>
  <si>
    <t>ул. Ленина ,   д.  33</t>
  </si>
  <si>
    <t xml:space="preserve">Прочистка дворовой канализационной сети </t>
  </si>
  <si>
    <t>ул. Ленина,   д.  35</t>
  </si>
  <si>
    <t>ул. Ленина ,   д. 37</t>
  </si>
  <si>
    <t>Смена параллельной задвижки</t>
  </si>
  <si>
    <t>ул. Металлистов,   д. 1-А</t>
  </si>
  <si>
    <t xml:space="preserve">Материалы для ремонта подъезда </t>
  </si>
  <si>
    <t>ул.   Металлургов,   д.  2</t>
  </si>
  <si>
    <t xml:space="preserve"> Закрытие подвальных окон </t>
  </si>
  <si>
    <t>Установка и подключение насоса</t>
  </si>
  <si>
    <t xml:space="preserve">Отогрев замерших труб отопления, ХВС </t>
  </si>
  <si>
    <t>ул. Огнеупорная ,   д.  14</t>
  </si>
  <si>
    <t>ул. Освобождение Урала ,   д.  4</t>
  </si>
  <si>
    <t xml:space="preserve">Ремонт стояка отопления, ХВС, ГВС </t>
  </si>
  <si>
    <t xml:space="preserve">Замена стояка ХВС </t>
  </si>
  <si>
    <t>Закрытие подвальных окон</t>
  </si>
  <si>
    <t>Штукатурка внутренних стен по бетону</t>
  </si>
  <si>
    <t>Отогрев замерших труб отопления, ХВС</t>
  </si>
  <si>
    <t>Укрепление оконных и дверных коробок</t>
  </si>
  <si>
    <t>Изготовление урн</t>
  </si>
  <si>
    <t>ул. Победы,   д.  1</t>
  </si>
  <si>
    <t xml:space="preserve">Ремонт деревянных порогов </t>
  </si>
  <si>
    <t>ул. Победы,   д.  2-А</t>
  </si>
  <si>
    <t>ул. Победы,   д.  2-Б</t>
  </si>
  <si>
    <t>ул. Победы,   д.  2-В</t>
  </si>
  <si>
    <t>Ремонт бетонных ступеней</t>
  </si>
  <si>
    <t>Ремонт внутридомовых инженерных сетей ГВС, ХВС</t>
  </si>
  <si>
    <t>Ремонт угла в подъезде</t>
  </si>
  <si>
    <t>Установка отливов</t>
  </si>
  <si>
    <t>Частичный ремонт вентиляционных труб</t>
  </si>
  <si>
    <t>ул. Победы,   д.  2-Г</t>
  </si>
  <si>
    <t>Прочистка засора канализации</t>
  </si>
  <si>
    <t>ул. Победы ,   д.  4</t>
  </si>
  <si>
    <t>Прочистка дворовой канализации</t>
  </si>
  <si>
    <t>ул. Победы,   д.  4-А</t>
  </si>
  <si>
    <t>Сварка на стояке ХВС</t>
  </si>
  <si>
    <t>Ремонт канализационной трубы</t>
  </si>
  <si>
    <t>ул. Победы,   д.  4-Б</t>
  </si>
  <si>
    <t>ул. Победы,   д.  5</t>
  </si>
  <si>
    <t>ул. Победы,   д.  7</t>
  </si>
  <si>
    <t>ул. Победы,   д.  8</t>
  </si>
  <si>
    <t>ул. Победы,   д.  58</t>
  </si>
  <si>
    <t xml:space="preserve">Замена вентилей, запорной арматуры на стояках отопления </t>
  </si>
  <si>
    <t>Отогрев замерших труб отопления, ХВС, канализации</t>
  </si>
  <si>
    <t>ул. Республики,   д.  5</t>
  </si>
  <si>
    <t xml:space="preserve">Ремонт дощатого покрытия </t>
  </si>
  <si>
    <t xml:space="preserve">Ремонт и подключение насоса </t>
  </si>
  <si>
    <t>Прочистка засора дворовой  канализации</t>
  </si>
  <si>
    <t>Замена стояка полотенцесушителя</t>
  </si>
  <si>
    <t xml:space="preserve">Замена стояков ХВС , ГВС, канализации </t>
  </si>
  <si>
    <t>ул. Республики,   д.  6</t>
  </si>
  <si>
    <t xml:space="preserve">Восстановление входа в подвальное помещение </t>
  </si>
  <si>
    <t xml:space="preserve">Заделка выбоин в цементных полах </t>
  </si>
  <si>
    <t xml:space="preserve">Смена досок </t>
  </si>
  <si>
    <t xml:space="preserve">Ремонт и изготовление скамеек </t>
  </si>
  <si>
    <t>Разборка кирпичной кладки</t>
  </si>
  <si>
    <t xml:space="preserve">Установка насоса </t>
  </si>
  <si>
    <t>ул. Республики,   д.  7</t>
  </si>
  <si>
    <t>ул. Республики,   д.  8</t>
  </si>
  <si>
    <t xml:space="preserve">Замена подъездного отопления </t>
  </si>
  <si>
    <t xml:space="preserve">Откачка подвала </t>
  </si>
  <si>
    <t xml:space="preserve">Закрытие слуховых окон сеткой </t>
  </si>
  <si>
    <t xml:space="preserve">Смена параллельной задвижки </t>
  </si>
  <si>
    <t>ул. Свердлова ,   д.  115</t>
  </si>
  <si>
    <t xml:space="preserve">Восстановление козырьков над подъездами </t>
  </si>
  <si>
    <t xml:space="preserve">Изготовление и установка решетки на подвальное окно </t>
  </si>
  <si>
    <t xml:space="preserve">Ремонт насоса </t>
  </si>
  <si>
    <t>ул. Свердлова,   д.  133-А</t>
  </si>
  <si>
    <t xml:space="preserve">Укрепление оконных и дверных коробок </t>
  </si>
  <si>
    <t>ул. Свердлова ,   д.  135</t>
  </si>
  <si>
    <t>Изготовление и установка дверного блока</t>
  </si>
  <si>
    <t xml:space="preserve">Отогрев замерших труб отопления, ХВС, канализации </t>
  </si>
  <si>
    <t>ул. Свердлова,   д.  92</t>
  </si>
  <si>
    <t>1463,04,</t>
  </si>
  <si>
    <t>ул. Соц. Штурма,   д.  3-А</t>
  </si>
  <si>
    <t>ул. Соц. Штурма,   д. 3-Б</t>
  </si>
  <si>
    <t>1657,20,</t>
  </si>
  <si>
    <t>ул. ЧГРЭС,   д.  4</t>
  </si>
  <si>
    <t>ул. Школьная ,   д.  3</t>
  </si>
  <si>
    <t>ул.  Школьная ,   д.  5</t>
  </si>
  <si>
    <t>Восстановление кирпичной кладки стены</t>
  </si>
  <si>
    <t>Замена стояков ХВС, ГВС на м/пропиленовые трубы</t>
  </si>
  <si>
    <t>Ремонт деревянных ступеней</t>
  </si>
  <si>
    <t>ул. Щорса,   д.  50</t>
  </si>
  <si>
    <t>Откачка ЖБО</t>
  </si>
  <si>
    <t xml:space="preserve">Изготовление  урн </t>
  </si>
  <si>
    <t>ул. Ю. Ичевой ,   д.  150</t>
  </si>
  <si>
    <t>Заделка подвальных окон кирпичом</t>
  </si>
  <si>
    <t>Отогрев замерших труб отопления , ХВС, канализации</t>
  </si>
  <si>
    <t>ул. Ю.  Ичевой ,   д.  179</t>
  </si>
  <si>
    <t>ул. Ю.  Ичевой ,   д.  177</t>
  </si>
  <si>
    <t xml:space="preserve">Замена канализационного тройника </t>
  </si>
  <si>
    <t>ул. Ю. Ичевой ,   д.  181</t>
  </si>
  <si>
    <t xml:space="preserve">Бетонирование площадки перед подъездом </t>
  </si>
  <si>
    <t>Окрашивание  труб на козырьках</t>
  </si>
  <si>
    <t>Замена выключателя, патрона, пробок, предохранителей, вставок, изоляторов</t>
  </si>
  <si>
    <t xml:space="preserve">Услуги экскаватора при уборке снега </t>
  </si>
  <si>
    <t>Восстановление ограждения возле дома</t>
  </si>
  <si>
    <t>Изготовление, установка козырьков над входами</t>
  </si>
  <si>
    <t xml:space="preserve">Ремонт стояков отопления , ГВС, ХВС </t>
  </si>
  <si>
    <t>Штукатурка, побелка фасада</t>
  </si>
  <si>
    <t>Смена досок до з шт. в одном месте</t>
  </si>
  <si>
    <t xml:space="preserve">Разборка кирпичной кладки </t>
  </si>
  <si>
    <t xml:space="preserve">Смена дверной пружины (доводчика) </t>
  </si>
  <si>
    <t>Восстановление козырька над подъездом</t>
  </si>
  <si>
    <t>Ремонт стояка отопления, ХВС, ГВС</t>
  </si>
  <si>
    <t xml:space="preserve">Восстановление вентиляционной шахты из кирпича </t>
  </si>
  <si>
    <t>Ремонт подвальной двери</t>
  </si>
  <si>
    <t>Ремонт  I  подъезда</t>
  </si>
  <si>
    <t>Закрытие, открытие подвальных окон, ремонт качелей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</si>
</sst>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"/>
    <numFmt numFmtId="175" formatCode="0.0000"/>
    <numFmt numFmtId="176" formatCode="0.000"/>
  </numFmts>
  <fonts count="1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2" fontId="4" fillId="0" borderId="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2" fontId="8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5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409.7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8.75" customHeight="1">
      <c r="A10" s="10"/>
      <c r="B10" s="8" t="s">
        <v>21</v>
      </c>
      <c r="C10" s="33">
        <v>41199.48</v>
      </c>
      <c r="D10" s="21" t="s">
        <v>9</v>
      </c>
    </row>
    <row r="11" spans="1:4" ht="18.75" customHeight="1">
      <c r="A11" s="10"/>
      <c r="B11" s="8" t="s">
        <v>10</v>
      </c>
      <c r="C11" s="33">
        <v>89.57</v>
      </c>
      <c r="D11" s="21" t="s">
        <v>11</v>
      </c>
    </row>
    <row r="12" spans="1:4" ht="20.25" customHeight="1">
      <c r="A12" s="10">
        <v>2</v>
      </c>
      <c r="B12" s="32" t="s">
        <v>137</v>
      </c>
      <c r="C12" s="33">
        <f>SUM(C13:C22)</f>
        <v>42937.18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v>4916.4</v>
      </c>
      <c r="D13" s="21" t="s">
        <v>9</v>
      </c>
    </row>
    <row r="14" spans="1:4" ht="15.75" customHeight="1">
      <c r="A14" s="12" t="s">
        <v>25</v>
      </c>
      <c r="B14" s="13" t="s">
        <v>14</v>
      </c>
      <c r="C14" s="14">
        <f>106.52*12</f>
        <v>1278.24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2509.2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11202.84</v>
      </c>
      <c r="D16" s="21" t="s">
        <v>9</v>
      </c>
    </row>
    <row r="17" spans="1:4" ht="33" customHeight="1">
      <c r="A17" s="38" t="s">
        <v>28</v>
      </c>
      <c r="B17" s="13" t="s">
        <v>16</v>
      </c>
      <c r="C17" s="14">
        <v>6047.16</v>
      </c>
      <c r="D17" s="21" t="s">
        <v>9</v>
      </c>
    </row>
    <row r="18" spans="1:4" ht="15.75" customHeight="1">
      <c r="A18" s="12" t="s">
        <v>29</v>
      </c>
      <c r="B18" s="13" t="s">
        <v>17</v>
      </c>
      <c r="C18" s="14">
        <v>4768.92</v>
      </c>
      <c r="D18" s="21" t="s">
        <v>9</v>
      </c>
    </row>
    <row r="19" spans="1:4" ht="32.25" customHeight="1">
      <c r="A19" s="38" t="s">
        <v>30</v>
      </c>
      <c r="B19" s="13" t="s">
        <v>18</v>
      </c>
      <c r="C19" s="14">
        <v>0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v>7472.88</v>
      </c>
      <c r="D21" s="21" t="s">
        <v>9</v>
      </c>
    </row>
    <row r="22" spans="1:4" ht="15.75" customHeight="1">
      <c r="A22" s="12" t="s">
        <v>33</v>
      </c>
      <c r="B22" s="13" t="s">
        <v>20</v>
      </c>
      <c r="C22" s="14">
        <f>C24+C25+C26+C27</f>
        <v>4741.54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6.5" customHeight="1">
      <c r="A24" s="12"/>
      <c r="B24" s="19" t="s">
        <v>34</v>
      </c>
      <c r="C24" s="16">
        <v>1383.07</v>
      </c>
      <c r="D24" s="21" t="s">
        <v>9</v>
      </c>
    </row>
    <row r="25" spans="1:4" ht="15.75">
      <c r="A25" s="11"/>
      <c r="B25" s="17" t="s">
        <v>38</v>
      </c>
      <c r="C25" s="17">
        <v>183.14</v>
      </c>
      <c r="D25" s="21" t="s">
        <v>9</v>
      </c>
    </row>
    <row r="26" spans="2:4" ht="15.75">
      <c r="B26" s="22" t="s">
        <v>134</v>
      </c>
      <c r="C26" s="23">
        <v>2601.18</v>
      </c>
      <c r="D26" s="21" t="s">
        <v>9</v>
      </c>
    </row>
    <row r="27" spans="2:4" ht="15.75">
      <c r="B27" s="22" t="s">
        <v>135</v>
      </c>
      <c r="C27" s="17">
        <v>574.15</v>
      </c>
      <c r="D27" s="21" t="s">
        <v>9</v>
      </c>
    </row>
    <row r="28" spans="1:4" ht="40.5" customHeight="1">
      <c r="A28" s="6"/>
      <c r="B28" s="7"/>
      <c r="C28" s="7"/>
      <c r="D28" s="21"/>
    </row>
    <row r="29" spans="1:4" ht="28.5" customHeight="1">
      <c r="A29" s="6"/>
      <c r="B29" s="44" t="s">
        <v>35</v>
      </c>
      <c r="C29" s="34">
        <f>C10-C12</f>
        <v>-1737.7</v>
      </c>
      <c r="D29" s="21" t="s">
        <v>9</v>
      </c>
    </row>
    <row r="30" spans="1:3" ht="15.75">
      <c r="A30" s="6"/>
      <c r="B30" s="6"/>
      <c r="C30" s="6"/>
    </row>
    <row r="31" spans="1:3" ht="15.75">
      <c r="A31" s="48" t="s">
        <v>136</v>
      </c>
      <c r="B31" s="48"/>
      <c r="C31" s="35">
        <v>8517.95</v>
      </c>
    </row>
    <row r="32" spans="1:3" ht="15.75">
      <c r="A32" s="6"/>
      <c r="B32" s="6"/>
      <c r="C32" s="6"/>
    </row>
    <row r="33" spans="1:3" ht="15.75">
      <c r="A33" s="6"/>
      <c r="B33" s="6"/>
      <c r="C33" s="6"/>
    </row>
  </sheetData>
  <mergeCells count="6">
    <mergeCell ref="A31:B31"/>
    <mergeCell ref="A6:C6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7">
      <selection activeCell="E7" sqref="E1:E16384"/>
    </sheetView>
  </sheetViews>
  <sheetFormatPr defaultColWidth="9.140625" defaultRowHeight="12.75"/>
  <cols>
    <col min="1" max="1" width="5.57421875" style="0" bestFit="1" customWidth="1"/>
    <col min="2" max="2" width="57.28125" style="0" bestFit="1" customWidth="1"/>
    <col min="3" max="3" width="11.421875" style="0" customWidth="1"/>
    <col min="4" max="4" width="10.710937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63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3189.24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32912.96*12</f>
        <v>394955.52</v>
      </c>
      <c r="D10" s="21" t="s">
        <v>9</v>
      </c>
    </row>
    <row r="11" spans="1:4" ht="15.75">
      <c r="A11" s="10"/>
      <c r="B11" s="13" t="s">
        <v>10</v>
      </c>
      <c r="C11" s="33">
        <v>88.59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341690.95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5102.78*12</f>
        <v>61233.36</v>
      </c>
      <c r="D13" s="21" t="s">
        <v>9</v>
      </c>
    </row>
    <row r="14" spans="1:4" ht="31.5">
      <c r="A14" s="12" t="s">
        <v>25</v>
      </c>
      <c r="B14" s="13" t="s">
        <v>14</v>
      </c>
      <c r="C14" s="14">
        <f>829.2*12</f>
        <v>9950.4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14760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33948</v>
      </c>
      <c r="D16" s="21" t="s">
        <v>9</v>
      </c>
    </row>
    <row r="17" spans="1:4" ht="31.5">
      <c r="A17" s="38" t="s">
        <v>28</v>
      </c>
      <c r="B17" s="13" t="s">
        <v>16</v>
      </c>
      <c r="C17" s="14">
        <f>5708.74*12</f>
        <v>68504.88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f>3093.56*12</f>
        <v>37122.72</v>
      </c>
      <c r="D18" s="21" t="s">
        <v>9</v>
      </c>
    </row>
    <row r="19" spans="1:4" ht="31.5">
      <c r="A19" s="38" t="s">
        <v>30</v>
      </c>
      <c r="B19" s="13" t="s">
        <v>18</v>
      </c>
      <c r="C19" s="14">
        <f>701.63*12</f>
        <v>8419.56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3045.2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4847.64*12</f>
        <v>58171.68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C24+C25+C26+C27+C28+C29+C30+C31+C32+C33+C34</f>
        <v>46535.15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8" t="s">
        <v>64</v>
      </c>
      <c r="C24" s="28">
        <v>1478.95</v>
      </c>
      <c r="D24" s="21" t="s">
        <v>9</v>
      </c>
    </row>
    <row r="25" spans="1:4" ht="15.75">
      <c r="A25" s="12"/>
      <c r="B25" s="18" t="s">
        <v>65</v>
      </c>
      <c r="C25" s="28">
        <v>1309.68</v>
      </c>
      <c r="D25" s="21" t="s">
        <v>9</v>
      </c>
    </row>
    <row r="26" spans="1:4" ht="15.75">
      <c r="A26" s="12"/>
      <c r="B26" s="19" t="s">
        <v>37</v>
      </c>
      <c r="C26" s="16">
        <v>1140</v>
      </c>
      <c r="D26" s="21" t="s">
        <v>9</v>
      </c>
    </row>
    <row r="27" spans="1:4" ht="15.75">
      <c r="A27" s="12"/>
      <c r="B27" s="19" t="s">
        <v>66</v>
      </c>
      <c r="C27" s="16">
        <v>660</v>
      </c>
      <c r="D27" s="21" t="s">
        <v>9</v>
      </c>
    </row>
    <row r="28" spans="1:4" ht="15.75">
      <c r="A28" s="12"/>
      <c r="B28" s="19" t="s">
        <v>67</v>
      </c>
      <c r="C28" s="16">
        <v>633.5</v>
      </c>
      <c r="D28" s="21" t="s">
        <v>9</v>
      </c>
    </row>
    <row r="29" spans="1:4" ht="15.75">
      <c r="A29" s="12"/>
      <c r="B29" s="19" t="s">
        <v>68</v>
      </c>
      <c r="C29" s="16">
        <v>763</v>
      </c>
      <c r="D29" s="21" t="s">
        <v>9</v>
      </c>
    </row>
    <row r="30" spans="1:4" ht="15.75">
      <c r="A30" s="12"/>
      <c r="B30" s="19" t="s">
        <v>48</v>
      </c>
      <c r="C30" s="16">
        <v>4897</v>
      </c>
      <c r="D30" s="21" t="s">
        <v>9</v>
      </c>
    </row>
    <row r="31" spans="1:4" ht="15.75">
      <c r="A31" s="11"/>
      <c r="B31" s="22" t="s">
        <v>61</v>
      </c>
      <c r="C31" s="17">
        <v>3156.32</v>
      </c>
      <c r="D31" s="21" t="s">
        <v>9</v>
      </c>
    </row>
    <row r="32" spans="1:4" ht="15.75">
      <c r="A32" s="11"/>
      <c r="B32" s="22" t="s">
        <v>134</v>
      </c>
      <c r="C32" s="23">
        <v>24047.1</v>
      </c>
      <c r="D32" s="21" t="s">
        <v>9</v>
      </c>
    </row>
    <row r="33" spans="1:4" ht="15.75">
      <c r="A33" s="11"/>
      <c r="B33" s="22" t="s">
        <v>135</v>
      </c>
      <c r="C33" s="17">
        <v>5564.69</v>
      </c>
      <c r="D33" s="21" t="s">
        <v>9</v>
      </c>
    </row>
    <row r="34" spans="1:4" ht="63">
      <c r="A34" s="11"/>
      <c r="B34" s="19" t="s">
        <v>87</v>
      </c>
      <c r="C34" s="17">
        <v>2884.91</v>
      </c>
      <c r="D34" s="21" t="s">
        <v>9</v>
      </c>
    </row>
    <row r="35" spans="1:4" ht="15.75">
      <c r="A35" s="11"/>
      <c r="B35" s="22"/>
      <c r="C35" s="23"/>
      <c r="D35" s="21"/>
    </row>
    <row r="36" spans="1:4" ht="15.75">
      <c r="A36" s="11"/>
      <c r="B36" s="22"/>
      <c r="C36" s="17"/>
      <c r="D36" s="21"/>
    </row>
    <row r="37" spans="1:4" ht="15.75">
      <c r="A37" s="6"/>
      <c r="B37" s="7"/>
      <c r="C37" s="7"/>
      <c r="D37" s="7"/>
    </row>
    <row r="38" spans="1:4" ht="15.75">
      <c r="A38" s="35"/>
      <c r="B38" s="44" t="s">
        <v>35</v>
      </c>
      <c r="C38" s="34">
        <f>C10-C12</f>
        <v>53264.57</v>
      </c>
      <c r="D38" s="21" t="s">
        <v>9</v>
      </c>
    </row>
    <row r="39" spans="1:4" ht="15.75">
      <c r="A39" s="35"/>
      <c r="B39" s="35"/>
      <c r="C39" s="35" t="s">
        <v>41</v>
      </c>
      <c r="D39" s="6"/>
    </row>
    <row r="40" spans="1:4" ht="30.75" customHeight="1">
      <c r="A40" s="48" t="s">
        <v>136</v>
      </c>
      <c r="B40" s="48"/>
      <c r="C40" s="35">
        <v>38256.69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57421875" style="0" bestFit="1" customWidth="1"/>
    <col min="2" max="2" width="57.28125" style="0" bestFit="1" customWidth="1"/>
    <col min="3" max="3" width="11.00390625" style="0" bestFit="1" customWidth="1"/>
    <col min="4" max="4" width="11.003906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69</v>
      </c>
      <c r="B6" s="49"/>
      <c r="C6" s="49"/>
      <c r="D6" s="41"/>
    </row>
    <row r="7" spans="1:4" ht="6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3393.6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35021.95*12-4988.59</f>
        <v>415274.81</v>
      </c>
      <c r="D10" s="21" t="s">
        <v>9</v>
      </c>
    </row>
    <row r="11" spans="1:4" ht="15.75">
      <c r="A11" s="10"/>
      <c r="B11" s="13" t="s">
        <v>10</v>
      </c>
      <c r="C11" s="33">
        <v>85.42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397867.39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6074.54*12</f>
        <v>72894.48</v>
      </c>
      <c r="D13" s="21" t="s">
        <v>9</v>
      </c>
      <c r="E13" s="29"/>
    </row>
    <row r="14" spans="1:5" ht="31.5">
      <c r="A14" s="12" t="s">
        <v>25</v>
      </c>
      <c r="B14" s="13" t="s">
        <v>14</v>
      </c>
      <c r="C14" s="14">
        <f>882.34*12</f>
        <v>10588.08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7344.22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32717.75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6074.54*12</f>
        <v>72894.48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3291.79*12</f>
        <v>39501.48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746.59*12</f>
        <v>8959.08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3045.2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5158.27*12</f>
        <v>61899.24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23">
        <f>SUM(C24:C40)</f>
        <v>88023.38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751.76</v>
      </c>
      <c r="D24" s="21" t="s">
        <v>9</v>
      </c>
    </row>
    <row r="25" spans="1:4" ht="15.75">
      <c r="A25" s="12"/>
      <c r="B25" s="18" t="s">
        <v>282</v>
      </c>
      <c r="C25" s="28">
        <v>2502</v>
      </c>
      <c r="D25" s="21" t="s">
        <v>9</v>
      </c>
    </row>
    <row r="26" spans="1:4" ht="15.75">
      <c r="A26" s="12"/>
      <c r="B26" s="19" t="s">
        <v>37</v>
      </c>
      <c r="C26" s="16">
        <v>360</v>
      </c>
      <c r="D26" s="21" t="s">
        <v>9</v>
      </c>
    </row>
    <row r="27" spans="1:4" ht="15.75">
      <c r="A27" s="12"/>
      <c r="B27" s="19" t="s">
        <v>70</v>
      </c>
      <c r="C27" s="16">
        <v>114</v>
      </c>
      <c r="D27" s="21" t="s">
        <v>9</v>
      </c>
    </row>
    <row r="28" spans="1:4" ht="15.75">
      <c r="A28" s="12"/>
      <c r="B28" s="19" t="s">
        <v>283</v>
      </c>
      <c r="C28" s="16">
        <v>4803</v>
      </c>
      <c r="D28" s="21" t="s">
        <v>9</v>
      </c>
    </row>
    <row r="29" spans="1:4" ht="15.75">
      <c r="A29" s="12"/>
      <c r="B29" s="19" t="s">
        <v>71</v>
      </c>
      <c r="C29" s="16">
        <v>3090</v>
      </c>
      <c r="D29" s="21" t="s">
        <v>9</v>
      </c>
    </row>
    <row r="30" spans="1:4" ht="15.75">
      <c r="A30" s="12"/>
      <c r="B30" s="19" t="s">
        <v>48</v>
      </c>
      <c r="C30" s="16">
        <v>10374</v>
      </c>
      <c r="D30" s="21" t="s">
        <v>9</v>
      </c>
    </row>
    <row r="31" spans="1:4" ht="15.75">
      <c r="A31" s="11"/>
      <c r="B31" s="22" t="s">
        <v>61</v>
      </c>
      <c r="C31" s="17">
        <v>7749.12</v>
      </c>
      <c r="D31" s="21" t="s">
        <v>9</v>
      </c>
    </row>
    <row r="32" spans="1:4" ht="15.75">
      <c r="A32" s="11"/>
      <c r="B32" s="22" t="s">
        <v>72</v>
      </c>
      <c r="C32" s="17">
        <v>7195.16</v>
      </c>
      <c r="D32" s="21" t="s">
        <v>9</v>
      </c>
    </row>
    <row r="33" spans="1:4" ht="15.75">
      <c r="A33" s="11"/>
      <c r="B33" s="22" t="s">
        <v>73</v>
      </c>
      <c r="C33" s="17">
        <v>4083.78</v>
      </c>
      <c r="D33" s="21" t="s">
        <v>9</v>
      </c>
    </row>
    <row r="34" spans="1:4" ht="15.75">
      <c r="A34" s="11"/>
      <c r="B34" s="22" t="s">
        <v>74</v>
      </c>
      <c r="C34" s="17">
        <v>2267.59</v>
      </c>
      <c r="D34" s="21" t="s">
        <v>9</v>
      </c>
    </row>
    <row r="35" spans="1:4" ht="15.75">
      <c r="A35" s="11"/>
      <c r="B35" s="22" t="s">
        <v>86</v>
      </c>
      <c r="C35" s="17">
        <v>137</v>
      </c>
      <c r="D35" s="21" t="s">
        <v>9</v>
      </c>
    </row>
    <row r="36" spans="1:4" ht="15.75">
      <c r="A36" s="11"/>
      <c r="B36" s="22" t="s">
        <v>75</v>
      </c>
      <c r="C36" s="17">
        <v>2014.54</v>
      </c>
      <c r="D36" s="21" t="s">
        <v>9</v>
      </c>
    </row>
    <row r="37" spans="1:4" ht="15.75">
      <c r="A37" s="11"/>
      <c r="B37" s="22" t="s">
        <v>76</v>
      </c>
      <c r="C37" s="17">
        <v>2164.65</v>
      </c>
      <c r="D37" s="21" t="s">
        <v>9</v>
      </c>
    </row>
    <row r="38" spans="1:4" ht="15.75">
      <c r="A38" s="11"/>
      <c r="B38" s="22" t="s">
        <v>134</v>
      </c>
      <c r="C38" s="23">
        <v>24047.1</v>
      </c>
      <c r="D38" s="21" t="s">
        <v>9</v>
      </c>
    </row>
    <row r="39" spans="1:4" ht="15.75">
      <c r="A39" s="11"/>
      <c r="B39" s="22" t="s">
        <v>135</v>
      </c>
      <c r="C39" s="17">
        <v>5564.69</v>
      </c>
      <c r="D39" s="21" t="s">
        <v>9</v>
      </c>
    </row>
    <row r="40" spans="1:4" ht="63">
      <c r="A40" s="11"/>
      <c r="B40" s="19" t="s">
        <v>87</v>
      </c>
      <c r="C40" s="17">
        <v>10804.99</v>
      </c>
      <c r="D40" s="21" t="s">
        <v>9</v>
      </c>
    </row>
    <row r="41" spans="1:4" ht="12.75" customHeight="1">
      <c r="A41" s="6"/>
      <c r="B41" s="7"/>
      <c r="C41" s="7"/>
      <c r="D41" s="21"/>
    </row>
    <row r="42" spans="1:4" ht="15.75">
      <c r="A42" s="35"/>
      <c r="B42" s="44" t="s">
        <v>35</v>
      </c>
      <c r="C42" s="34">
        <f>C10-C12</f>
        <v>17407.42</v>
      </c>
      <c r="D42" s="21" t="s">
        <v>9</v>
      </c>
    </row>
    <row r="43" spans="1:4" ht="10.5" customHeight="1">
      <c r="A43" s="35"/>
      <c r="B43" s="35"/>
      <c r="C43" s="35" t="s">
        <v>41</v>
      </c>
      <c r="D43" s="21"/>
    </row>
    <row r="44" spans="1:4" ht="33" customHeight="1">
      <c r="A44" s="48" t="s">
        <v>136</v>
      </c>
      <c r="B44" s="48"/>
      <c r="C44" s="35">
        <v>87667.23</v>
      </c>
      <c r="D44" s="21" t="s">
        <v>9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">
      <selection activeCell="E4" sqref="E1:E16384"/>
    </sheetView>
  </sheetViews>
  <sheetFormatPr defaultColWidth="9.140625" defaultRowHeight="12.75"/>
  <cols>
    <col min="1" max="1" width="5.57421875" style="0" bestFit="1" customWidth="1"/>
    <col min="2" max="2" width="65.140625" style="0" customWidth="1"/>
    <col min="3" max="3" width="13.7109375" style="0" customWidth="1"/>
    <col min="4" max="4" width="11.00390625" style="0" customWidth="1"/>
    <col min="5" max="5" width="26.85156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 hidden="1">
      <c r="A5" s="6"/>
      <c r="B5" s="6"/>
      <c r="C5" s="6"/>
      <c r="D5" s="6"/>
    </row>
    <row r="6" spans="1:4" ht="18.75">
      <c r="A6" s="49" t="s">
        <v>77</v>
      </c>
      <c r="B6" s="49"/>
      <c r="C6" s="49"/>
      <c r="D6" s="41"/>
    </row>
    <row r="7" spans="1:4" ht="8.25" customHeight="1" hidden="1">
      <c r="A7" s="6"/>
      <c r="B7" s="6"/>
      <c r="C7" s="6"/>
      <c r="D7" s="6"/>
    </row>
    <row r="8" spans="1:4" ht="15.75">
      <c r="A8" s="51" t="s">
        <v>6</v>
      </c>
      <c r="B8" s="51"/>
      <c r="C8" s="32">
        <v>4511.6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46559.71*12</f>
        <v>558716.52</v>
      </c>
      <c r="D10" s="21" t="s">
        <v>9</v>
      </c>
    </row>
    <row r="11" spans="1:4" ht="15.75">
      <c r="A11" s="10"/>
      <c r="B11" s="13" t="s">
        <v>10</v>
      </c>
      <c r="C11" s="33">
        <v>87.09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691295.52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7218.56*12</f>
        <v>86622.72</v>
      </c>
      <c r="D13" s="21" t="s">
        <v>9</v>
      </c>
      <c r="E13" s="29"/>
    </row>
    <row r="14" spans="1:5" ht="15" customHeight="1">
      <c r="A14" s="12" t="s">
        <v>25</v>
      </c>
      <c r="B14" s="13" t="s">
        <v>14</v>
      </c>
      <c r="C14" s="14">
        <f>1173.02*12</f>
        <v>14076.24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25830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35424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8075.76*12</f>
        <v>96909.12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4376.25*12</f>
        <v>52515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992.55*12</f>
        <v>11910.6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1211.24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6857.63*12</f>
        <v>82291.56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SUM(C24:C51)</f>
        <v>284505.04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2364.53</v>
      </c>
      <c r="D24" s="21" t="s">
        <v>9</v>
      </c>
    </row>
    <row r="25" spans="1:4" ht="15.75">
      <c r="A25" s="12"/>
      <c r="B25" s="18" t="s">
        <v>78</v>
      </c>
      <c r="C25" s="28">
        <v>69090</v>
      </c>
      <c r="D25" s="21" t="s">
        <v>9</v>
      </c>
    </row>
    <row r="26" spans="1:4" ht="15.75">
      <c r="A26" s="12"/>
      <c r="B26" s="19" t="s">
        <v>88</v>
      </c>
      <c r="C26" s="16">
        <v>19830</v>
      </c>
      <c r="D26" s="21" t="s">
        <v>9</v>
      </c>
    </row>
    <row r="27" spans="1:4" ht="15.75">
      <c r="A27" s="12"/>
      <c r="B27" s="19" t="s">
        <v>89</v>
      </c>
      <c r="C27" s="16">
        <v>6015</v>
      </c>
      <c r="D27" s="21" t="s">
        <v>9</v>
      </c>
    </row>
    <row r="28" spans="1:4" ht="15.75">
      <c r="A28" s="12"/>
      <c r="B28" s="19" t="s">
        <v>85</v>
      </c>
      <c r="C28" s="16">
        <f>34712+20176</f>
        <v>54888</v>
      </c>
      <c r="D28" s="21" t="s">
        <v>9</v>
      </c>
    </row>
    <row r="29" spans="1:4" ht="15.75">
      <c r="A29" s="12"/>
      <c r="B29" s="19" t="s">
        <v>147</v>
      </c>
      <c r="C29" s="16">
        <v>13207</v>
      </c>
      <c r="D29" s="21" t="s">
        <v>9</v>
      </c>
    </row>
    <row r="30" spans="1:4" ht="15.75">
      <c r="A30" s="12"/>
      <c r="B30" s="19" t="s">
        <v>79</v>
      </c>
      <c r="C30" s="16">
        <v>6037</v>
      </c>
      <c r="D30" s="21" t="s">
        <v>9</v>
      </c>
    </row>
    <row r="31" spans="1:4" ht="15.75">
      <c r="A31" s="11"/>
      <c r="B31" s="22" t="s">
        <v>80</v>
      </c>
      <c r="C31" s="23">
        <v>23141</v>
      </c>
      <c r="D31" s="21" t="s">
        <v>9</v>
      </c>
    </row>
    <row r="32" spans="1:4" ht="15.75">
      <c r="A32" s="11"/>
      <c r="B32" s="22" t="s">
        <v>66</v>
      </c>
      <c r="C32" s="23">
        <v>4950</v>
      </c>
      <c r="D32" s="21" t="s">
        <v>9</v>
      </c>
    </row>
    <row r="33" spans="1:4" ht="15.75">
      <c r="A33" s="11"/>
      <c r="B33" s="22" t="s">
        <v>90</v>
      </c>
      <c r="C33" s="23">
        <v>570</v>
      </c>
      <c r="D33" s="21" t="s">
        <v>9</v>
      </c>
    </row>
    <row r="34" spans="1:4" ht="15.75">
      <c r="A34" s="11"/>
      <c r="B34" s="22" t="s">
        <v>67</v>
      </c>
      <c r="C34" s="23">
        <v>2035</v>
      </c>
      <c r="D34" s="21" t="s">
        <v>9</v>
      </c>
    </row>
    <row r="35" spans="1:4" ht="15.75">
      <c r="A35" s="11"/>
      <c r="B35" s="22" t="s">
        <v>43</v>
      </c>
      <c r="C35" s="23">
        <v>4622.34</v>
      </c>
      <c r="D35" s="21" t="s">
        <v>9</v>
      </c>
    </row>
    <row r="36" spans="1:4" ht="15.75">
      <c r="A36" s="11"/>
      <c r="B36" s="22" t="s">
        <v>81</v>
      </c>
      <c r="C36" s="23">
        <v>3385.05</v>
      </c>
      <c r="D36" s="21" t="s">
        <v>9</v>
      </c>
    </row>
    <row r="37" spans="1:4" ht="15.75">
      <c r="A37" s="11"/>
      <c r="B37" s="22" t="s">
        <v>82</v>
      </c>
      <c r="C37" s="23">
        <v>1052</v>
      </c>
      <c r="D37" s="21" t="s">
        <v>9</v>
      </c>
    </row>
    <row r="38" spans="1:4" ht="15.75">
      <c r="A38" s="11"/>
      <c r="B38" s="22" t="s">
        <v>83</v>
      </c>
      <c r="C38" s="23">
        <v>122</v>
      </c>
      <c r="D38" s="21" t="s">
        <v>9</v>
      </c>
    </row>
    <row r="39" spans="1:4" ht="15.75">
      <c r="A39" s="11"/>
      <c r="B39" s="22" t="s">
        <v>84</v>
      </c>
      <c r="C39" s="23">
        <v>1831.5</v>
      </c>
      <c r="D39" s="21" t="s">
        <v>9</v>
      </c>
    </row>
    <row r="40" spans="1:4" ht="15.75">
      <c r="A40" s="11"/>
      <c r="B40" s="22" t="s">
        <v>37</v>
      </c>
      <c r="C40" s="23">
        <v>624</v>
      </c>
      <c r="D40" s="21" t="s">
        <v>9</v>
      </c>
    </row>
    <row r="41" spans="1:4" ht="15.75">
      <c r="A41" s="11"/>
      <c r="B41" s="19" t="s">
        <v>48</v>
      </c>
      <c r="C41" s="23">
        <v>4788</v>
      </c>
      <c r="D41" s="21" t="s">
        <v>9</v>
      </c>
    </row>
    <row r="42" spans="1:4" ht="15.75">
      <c r="A42" s="11"/>
      <c r="B42" s="22" t="s">
        <v>61</v>
      </c>
      <c r="C42" s="23">
        <v>9927</v>
      </c>
      <c r="D42" s="21" t="s">
        <v>9</v>
      </c>
    </row>
    <row r="43" spans="1:4" ht="15.75">
      <c r="A43" s="11"/>
      <c r="B43" s="22" t="s">
        <v>72</v>
      </c>
      <c r="C43" s="23">
        <v>1925.3</v>
      </c>
      <c r="D43" s="21" t="s">
        <v>9</v>
      </c>
    </row>
    <row r="44" spans="1:4" ht="15.75">
      <c r="A44" s="11"/>
      <c r="B44" s="22" t="s">
        <v>74</v>
      </c>
      <c r="C44" s="23">
        <v>2790.88</v>
      </c>
      <c r="D44" s="21" t="s">
        <v>9</v>
      </c>
    </row>
    <row r="45" spans="1:4" ht="15.75">
      <c r="A45" s="11"/>
      <c r="B45" s="22" t="s">
        <v>91</v>
      </c>
      <c r="C45" s="23">
        <v>4071.19</v>
      </c>
      <c r="D45" s="21" t="s">
        <v>9</v>
      </c>
    </row>
    <row r="46" spans="1:4" ht="15.75">
      <c r="A46" s="11"/>
      <c r="B46" s="22" t="s">
        <v>92</v>
      </c>
      <c r="C46" s="23">
        <v>2125.89</v>
      </c>
      <c r="D46" s="21" t="s">
        <v>9</v>
      </c>
    </row>
    <row r="47" spans="1:4" ht="15.75">
      <c r="A47" s="11"/>
      <c r="B47" s="22" t="s">
        <v>134</v>
      </c>
      <c r="C47" s="23">
        <v>26962.71</v>
      </c>
      <c r="D47" s="21" t="s">
        <v>9</v>
      </c>
    </row>
    <row r="48" spans="1:4" ht="15.75">
      <c r="A48" s="11"/>
      <c r="B48" s="22" t="s">
        <v>135</v>
      </c>
      <c r="C48" s="17">
        <v>7949.54</v>
      </c>
      <c r="D48" s="21" t="s">
        <v>9</v>
      </c>
    </row>
    <row r="49" spans="1:4" ht="15.75">
      <c r="A49" s="11"/>
      <c r="B49" s="22" t="s">
        <v>93</v>
      </c>
      <c r="C49" s="17">
        <v>880.67</v>
      </c>
      <c r="D49" s="21" t="s">
        <v>9</v>
      </c>
    </row>
    <row r="50" spans="1:4" ht="15.75">
      <c r="A50" s="11"/>
      <c r="B50" s="22" t="s">
        <v>75</v>
      </c>
      <c r="C50" s="17">
        <v>2472.39</v>
      </c>
      <c r="D50" s="21" t="s">
        <v>9</v>
      </c>
    </row>
    <row r="51" spans="1:4" ht="45.75" customHeight="1">
      <c r="A51" s="11"/>
      <c r="B51" s="19" t="s">
        <v>87</v>
      </c>
      <c r="C51" s="17">
        <v>6847.05</v>
      </c>
      <c r="D51" s="21" t="s">
        <v>9</v>
      </c>
    </row>
    <row r="52" spans="1:4" ht="15.75">
      <c r="A52" s="6"/>
      <c r="B52" s="7"/>
      <c r="C52" s="7"/>
      <c r="D52" s="21"/>
    </row>
    <row r="53" spans="1:4" ht="15.75">
      <c r="A53" s="35"/>
      <c r="B53" s="36" t="s">
        <v>35</v>
      </c>
      <c r="C53" s="34">
        <f>C10-C12</f>
        <v>-132579</v>
      </c>
      <c r="D53" s="21" t="s">
        <v>9</v>
      </c>
    </row>
    <row r="54" spans="1:4" ht="15.75">
      <c r="A54" s="35"/>
      <c r="B54" s="35"/>
      <c r="C54" s="35" t="s">
        <v>41</v>
      </c>
      <c r="D54" s="21"/>
    </row>
    <row r="55" spans="1:4" ht="30" customHeight="1">
      <c r="A55" s="48" t="s">
        <v>136</v>
      </c>
      <c r="B55" s="48"/>
      <c r="C55" s="35">
        <v>71774.47</v>
      </c>
      <c r="D55" s="21" t="s">
        <v>9</v>
      </c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</sheetData>
  <mergeCells count="7">
    <mergeCell ref="A6:C6"/>
    <mergeCell ref="A8:B8"/>
    <mergeCell ref="A55:B55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3">
      <selection activeCell="E13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00390625" style="0" bestFit="1" customWidth="1"/>
    <col min="4" max="4" width="11.00390625" style="0" customWidth="1"/>
    <col min="5" max="5" width="8.85156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94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4365.9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45056.09*12</f>
        <v>540673.08</v>
      </c>
      <c r="D10" s="21" t="s">
        <v>9</v>
      </c>
    </row>
    <row r="11" spans="1:4" ht="15.75">
      <c r="A11" s="10"/>
      <c r="B11" s="13" t="s">
        <v>10</v>
      </c>
      <c r="C11" s="33">
        <v>87.16</v>
      </c>
      <c r="D11" s="21" t="s">
        <v>11</v>
      </c>
    </row>
    <row r="12" spans="1:4" ht="15.75">
      <c r="A12" s="10">
        <v>2</v>
      </c>
      <c r="B12" s="8" t="s">
        <v>12</v>
      </c>
      <c r="C12" s="33">
        <f>SUM(C13:C22)</f>
        <v>615686.04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6985.44*12</f>
        <v>83825.28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1135.13*12</f>
        <v>13621.56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25092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41846.52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7814.96*12</f>
        <v>93779.52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4234.92*12</f>
        <v>50819.04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960.5*12</f>
        <v>11526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6636.17*12</f>
        <v>79634.04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SUM(C24:C40)</f>
        <v>215542.08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95</v>
      </c>
      <c r="C24" s="28">
        <v>1814</v>
      </c>
      <c r="D24" s="21" t="s">
        <v>9</v>
      </c>
    </row>
    <row r="25" spans="1:4" ht="15.75">
      <c r="A25" s="12"/>
      <c r="B25" s="18" t="s">
        <v>78</v>
      </c>
      <c r="C25" s="28">
        <v>25909.12</v>
      </c>
      <c r="D25" s="21" t="s">
        <v>9</v>
      </c>
    </row>
    <row r="26" spans="1:4" ht="15.75">
      <c r="A26" s="12"/>
      <c r="B26" s="19" t="s">
        <v>85</v>
      </c>
      <c r="C26" s="16">
        <v>3322</v>
      </c>
      <c r="D26" s="21" t="s">
        <v>9</v>
      </c>
    </row>
    <row r="27" spans="1:4" ht="15.75">
      <c r="A27" s="12"/>
      <c r="B27" s="19" t="s">
        <v>71</v>
      </c>
      <c r="C27" s="16">
        <v>21387</v>
      </c>
      <c r="D27" s="21" t="s">
        <v>9</v>
      </c>
    </row>
    <row r="28" spans="1:4" ht="15.75">
      <c r="A28" s="11"/>
      <c r="B28" s="22" t="s">
        <v>80</v>
      </c>
      <c r="C28" s="23">
        <v>96393</v>
      </c>
      <c r="D28" s="21" t="s">
        <v>9</v>
      </c>
    </row>
    <row r="29" spans="1:4" ht="15.75">
      <c r="A29" s="11"/>
      <c r="B29" s="22" t="s">
        <v>96</v>
      </c>
      <c r="C29" s="23">
        <v>541</v>
      </c>
      <c r="D29" s="21" t="s">
        <v>9</v>
      </c>
    </row>
    <row r="30" spans="1:4" ht="15.75">
      <c r="A30" s="11"/>
      <c r="B30" s="22" t="s">
        <v>97</v>
      </c>
      <c r="C30" s="23">
        <v>1957</v>
      </c>
      <c r="D30" s="21" t="s">
        <v>9</v>
      </c>
    </row>
    <row r="31" spans="1:4" ht="15.75">
      <c r="A31" s="11"/>
      <c r="B31" s="22" t="s">
        <v>37</v>
      </c>
      <c r="C31" s="23">
        <v>1664</v>
      </c>
      <c r="D31" s="21" t="s">
        <v>9</v>
      </c>
    </row>
    <row r="32" spans="1:4" ht="15.75">
      <c r="A32" s="11"/>
      <c r="B32" s="19" t="s">
        <v>48</v>
      </c>
      <c r="C32" s="23">
        <v>1596</v>
      </c>
      <c r="D32" s="21" t="s">
        <v>9</v>
      </c>
    </row>
    <row r="33" spans="1:4" ht="15.75">
      <c r="A33" s="11"/>
      <c r="B33" s="22" t="s">
        <v>61</v>
      </c>
      <c r="C33" s="23">
        <v>9302.33</v>
      </c>
      <c r="D33" s="21" t="s">
        <v>9</v>
      </c>
    </row>
    <row r="34" spans="1:4" ht="15.75">
      <c r="A34" s="11"/>
      <c r="B34" s="22" t="s">
        <v>72</v>
      </c>
      <c r="C34" s="23">
        <v>6683.84</v>
      </c>
      <c r="D34" s="21" t="s">
        <v>9</v>
      </c>
    </row>
    <row r="35" spans="1:4" ht="15.75">
      <c r="A35" s="11"/>
      <c r="B35" s="22" t="s">
        <v>91</v>
      </c>
      <c r="C35" s="23">
        <v>2163.76</v>
      </c>
      <c r="D35" s="21" t="s">
        <v>9</v>
      </c>
    </row>
    <row r="36" spans="1:4" ht="15.75">
      <c r="A36" s="11"/>
      <c r="B36" s="22" t="s">
        <v>134</v>
      </c>
      <c r="C36" s="23">
        <v>24123.33</v>
      </c>
      <c r="D36" s="21" t="s">
        <v>9</v>
      </c>
    </row>
    <row r="37" spans="1:4" ht="15.75">
      <c r="A37" s="11"/>
      <c r="B37" s="22" t="s">
        <v>135</v>
      </c>
      <c r="C37" s="17">
        <v>7154.59</v>
      </c>
      <c r="D37" s="21" t="s">
        <v>9</v>
      </c>
    </row>
    <row r="38" spans="1:4" ht="15.75">
      <c r="A38" s="11"/>
      <c r="B38" s="22" t="s">
        <v>75</v>
      </c>
      <c r="C38" s="17">
        <v>1922.97</v>
      </c>
      <c r="D38" s="21" t="s">
        <v>9</v>
      </c>
    </row>
    <row r="39" spans="1:4" ht="15.75">
      <c r="A39" s="11"/>
      <c r="B39" s="22" t="s">
        <v>76</v>
      </c>
      <c r="C39" s="17">
        <v>812.34</v>
      </c>
      <c r="D39" s="21" t="s">
        <v>9</v>
      </c>
    </row>
    <row r="40" spans="1:4" ht="45" customHeight="1">
      <c r="A40" s="11"/>
      <c r="B40" s="19" t="s">
        <v>87</v>
      </c>
      <c r="C40" s="17">
        <f>5233.8+3562</f>
        <v>8795.8</v>
      </c>
      <c r="D40" s="21" t="s">
        <v>9</v>
      </c>
    </row>
    <row r="41" spans="1:4" ht="15.75">
      <c r="A41" s="11"/>
      <c r="B41" s="22"/>
      <c r="D41" s="21"/>
    </row>
    <row r="42" spans="1:4" ht="15.75">
      <c r="A42" s="6"/>
      <c r="B42" s="7"/>
      <c r="C42" s="7"/>
      <c r="D42" s="21"/>
    </row>
    <row r="43" spans="1:4" ht="15.75">
      <c r="A43" s="35"/>
      <c r="B43" s="44" t="s">
        <v>35</v>
      </c>
      <c r="C43" s="34">
        <f>C10-C12</f>
        <v>-75012.96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0.75" customHeight="1">
      <c r="A45" s="48" t="s">
        <v>136</v>
      </c>
      <c r="B45" s="48"/>
      <c r="C45" s="35">
        <v>78641.29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0">
      <selection activeCell="E10" sqref="E1:E16384"/>
    </sheetView>
  </sheetViews>
  <sheetFormatPr defaultColWidth="9.140625" defaultRowHeight="12.75"/>
  <cols>
    <col min="1" max="1" width="5.57421875" style="0" bestFit="1" customWidth="1"/>
    <col min="2" max="2" width="60.8515625" style="0" customWidth="1"/>
    <col min="3" max="3" width="11.00390625" style="0" bestFit="1" customWidth="1"/>
    <col min="4" max="4" width="11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.75" customHeight="1">
      <c r="A5" s="6"/>
      <c r="B5" s="6"/>
      <c r="C5" s="6"/>
      <c r="D5" s="6"/>
    </row>
    <row r="6" spans="1:4" ht="18.75">
      <c r="A6" s="49" t="s">
        <v>98</v>
      </c>
      <c r="B6" s="49"/>
      <c r="C6" s="49"/>
      <c r="D6" s="41"/>
    </row>
    <row r="7" spans="1:4" ht="9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589.42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6082.81*12-3465.84</f>
        <v>69527.88</v>
      </c>
      <c r="D10" s="21" t="s">
        <v>9</v>
      </c>
    </row>
    <row r="11" spans="1:4" ht="15.75">
      <c r="A11" s="10"/>
      <c r="B11" s="13" t="s">
        <v>10</v>
      </c>
      <c r="C11" s="33">
        <v>90.79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66865.84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943.07*12</f>
        <v>11316.84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153.25*12</f>
        <v>1839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10760.04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1055.06*12</f>
        <v>12660.72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571.74*12</f>
        <v>6860.88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129.67*12</f>
        <v>1556.04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895.92*12</f>
        <v>10751.04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SUM(C24:C31)</f>
        <v>11121.28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99</v>
      </c>
      <c r="C24" s="31">
        <v>1603</v>
      </c>
      <c r="D24" s="21" t="s">
        <v>9</v>
      </c>
    </row>
    <row r="25" spans="1:4" ht="15.75">
      <c r="A25" s="12"/>
      <c r="B25" s="18" t="s">
        <v>81</v>
      </c>
      <c r="C25" s="28">
        <v>1354.02</v>
      </c>
      <c r="D25" s="21" t="s">
        <v>9</v>
      </c>
    </row>
    <row r="26" spans="1:4" ht="15.75">
      <c r="A26" s="11"/>
      <c r="B26" s="22" t="s">
        <v>61</v>
      </c>
      <c r="C26" s="23">
        <v>1045.25</v>
      </c>
      <c r="D26" s="21" t="s">
        <v>9</v>
      </c>
    </row>
    <row r="27" spans="1:4" ht="15.75">
      <c r="A27" s="11"/>
      <c r="B27" s="22" t="s">
        <v>100</v>
      </c>
      <c r="C27" s="23">
        <v>526</v>
      </c>
      <c r="D27" s="21" t="s">
        <v>9</v>
      </c>
    </row>
    <row r="28" spans="1:4" ht="15.75">
      <c r="A28" s="11"/>
      <c r="B28" s="22" t="s">
        <v>134</v>
      </c>
      <c r="C28" s="23">
        <v>4398.19</v>
      </c>
      <c r="D28" s="21" t="s">
        <v>9</v>
      </c>
    </row>
    <row r="29" spans="1:4" ht="15.75">
      <c r="A29" s="11"/>
      <c r="B29" s="22" t="s">
        <v>135</v>
      </c>
      <c r="C29" s="17">
        <v>971.62</v>
      </c>
      <c r="D29" s="21" t="s">
        <v>9</v>
      </c>
    </row>
    <row r="30" spans="1:4" ht="15.75">
      <c r="A30" s="11"/>
      <c r="B30" s="22" t="s">
        <v>75</v>
      </c>
      <c r="C30" s="17">
        <v>183.14</v>
      </c>
      <c r="D30" s="21" t="s">
        <v>9</v>
      </c>
    </row>
    <row r="31" spans="1:4" ht="50.25" customHeight="1">
      <c r="A31" s="11"/>
      <c r="B31" s="19" t="s">
        <v>87</v>
      </c>
      <c r="C31" s="17">
        <v>1040.06</v>
      </c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2662.04</v>
      </c>
      <c r="D35" s="21" t="s">
        <v>9</v>
      </c>
    </row>
    <row r="36" spans="1:4" ht="15.75">
      <c r="A36" s="35"/>
      <c r="B36" s="35"/>
      <c r="C36" s="35" t="s">
        <v>41</v>
      </c>
      <c r="D36" s="21" t="s">
        <v>9</v>
      </c>
    </row>
    <row r="37" spans="1:4" ht="30.75" customHeight="1">
      <c r="A37" s="48" t="s">
        <v>136</v>
      </c>
      <c r="B37" s="48"/>
      <c r="C37" s="35">
        <v>7765.55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8515625" style="0" customWidth="1"/>
    <col min="3" max="3" width="11.57421875" style="0" customWidth="1"/>
    <col min="4" max="4" width="8.7109375" style="0" customWidth="1"/>
    <col min="5" max="5" width="7.003906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101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389.5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3497.71*12-2290.32</f>
        <v>39682.2</v>
      </c>
      <c r="D10" s="21" t="s">
        <v>9</v>
      </c>
    </row>
    <row r="11" spans="1:4" ht="15.75">
      <c r="A11" s="10"/>
      <c r="B11" s="13" t="s">
        <v>10</v>
      </c>
      <c r="C11" s="33">
        <v>86.95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49353.1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623.2*12</f>
        <v>7478.4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101.27*12</f>
        <v>1215.24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8487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479.09*12</f>
        <v>5749.08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377.82*12</f>
        <v>4533.84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592.04*12</f>
        <v>7104.48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C24+C25+C26+C27+C28+C29</f>
        <v>14785.06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102</v>
      </c>
      <c r="C24" s="31">
        <v>487.68</v>
      </c>
      <c r="D24" s="21" t="s">
        <v>9</v>
      </c>
    </row>
    <row r="25" spans="1:4" ht="15.75">
      <c r="A25" s="11"/>
      <c r="B25" s="22" t="s">
        <v>61</v>
      </c>
      <c r="C25" s="23">
        <v>827.25</v>
      </c>
      <c r="D25" s="21" t="s">
        <v>9</v>
      </c>
    </row>
    <row r="26" spans="1:4" ht="15.75">
      <c r="A26" s="11"/>
      <c r="B26" s="22" t="s">
        <v>75</v>
      </c>
      <c r="C26" s="17">
        <v>183.14</v>
      </c>
      <c r="D26" s="21" t="s">
        <v>9</v>
      </c>
    </row>
    <row r="27" spans="1:4" ht="63">
      <c r="A27" s="11"/>
      <c r="B27" s="19" t="s">
        <v>87</v>
      </c>
      <c r="C27" s="17">
        <v>10065.26</v>
      </c>
      <c r="D27" s="21" t="s">
        <v>9</v>
      </c>
    </row>
    <row r="28" spans="1:4" ht="15.75">
      <c r="A28" s="11"/>
      <c r="B28" s="22" t="s">
        <v>134</v>
      </c>
      <c r="C28" s="23">
        <v>2559.26</v>
      </c>
      <c r="D28" s="21" t="s">
        <v>9</v>
      </c>
    </row>
    <row r="29" spans="1:4" ht="15.75">
      <c r="A29" s="11"/>
      <c r="B29" s="22" t="s">
        <v>135</v>
      </c>
      <c r="C29" s="17">
        <v>662.47</v>
      </c>
      <c r="D29" s="21" t="s">
        <v>9</v>
      </c>
    </row>
    <row r="30" spans="1:4" ht="34.5" customHeight="1">
      <c r="A30" s="6"/>
      <c r="B30" s="7"/>
      <c r="C30" s="7"/>
      <c r="D30" s="21"/>
    </row>
    <row r="31" spans="1:4" ht="15.75">
      <c r="A31" s="35"/>
      <c r="B31" s="44" t="s">
        <v>35</v>
      </c>
      <c r="C31" s="34">
        <f>C10-C12</f>
        <v>-9670.9</v>
      </c>
      <c r="D31" s="21" t="s">
        <v>9</v>
      </c>
    </row>
    <row r="32" spans="1:4" ht="15.75">
      <c r="A32" s="35"/>
      <c r="B32" s="35"/>
      <c r="C32" s="35" t="s">
        <v>41</v>
      </c>
      <c r="D32" s="21"/>
    </row>
    <row r="33" spans="1:4" ht="31.5" customHeight="1">
      <c r="A33" s="48" t="s">
        <v>136</v>
      </c>
      <c r="B33" s="48"/>
      <c r="C33" s="35">
        <v>10694.46</v>
      </c>
      <c r="D33" s="21" t="s">
        <v>9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3.28125" style="0" customWidth="1"/>
    <col min="3" max="3" width="14.28125" style="0" customWidth="1"/>
    <col min="4" max="4" width="8.14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.75" customHeight="1">
      <c r="A5" s="6"/>
      <c r="B5" s="6"/>
      <c r="C5" s="6"/>
      <c r="D5" s="6"/>
    </row>
    <row r="6" spans="1:4" ht="18.75">
      <c r="A6" s="49" t="s">
        <v>103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890.6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9190.99*12-5236.68</f>
        <v>105055.2</v>
      </c>
      <c r="D10" s="21" t="s">
        <v>9</v>
      </c>
    </row>
    <row r="11" spans="1:4" ht="15.75">
      <c r="A11" s="10"/>
      <c r="B11" s="13" t="s">
        <v>10</v>
      </c>
      <c r="C11" s="33">
        <v>88.66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140950.99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1424.96*12</f>
        <v>17099.52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231.56*12</f>
        <v>2778.72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/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8073.72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1594.17*12</f>
        <v>19130.04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863.88*12</f>
        <v>10366.56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195.93*12</f>
        <v>2351.16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1157.68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1353.71*12</f>
        <v>16244.52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SUM(C24:C40)</f>
        <v>63749.07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1251.36</v>
      </c>
      <c r="D24" s="21" t="s">
        <v>9</v>
      </c>
    </row>
    <row r="25" spans="1:4" ht="15.75">
      <c r="A25" s="12"/>
      <c r="B25" s="18" t="s">
        <v>104</v>
      </c>
      <c r="C25" s="31">
        <v>1636</v>
      </c>
      <c r="D25" s="21" t="s">
        <v>9</v>
      </c>
    </row>
    <row r="26" spans="1:4" ht="15.75">
      <c r="A26" s="12"/>
      <c r="B26" s="19" t="s">
        <v>105</v>
      </c>
      <c r="C26" s="16">
        <v>590</v>
      </c>
      <c r="D26" s="21" t="s">
        <v>9</v>
      </c>
    </row>
    <row r="27" spans="1:4" ht="15.75">
      <c r="A27" s="11"/>
      <c r="B27" s="22" t="s">
        <v>106</v>
      </c>
      <c r="C27" s="23">
        <v>674</v>
      </c>
      <c r="D27" s="21" t="s">
        <v>9</v>
      </c>
    </row>
    <row r="28" spans="1:4" ht="15.75">
      <c r="A28" s="11"/>
      <c r="B28" s="22" t="s">
        <v>81</v>
      </c>
      <c r="C28" s="23">
        <v>631.88</v>
      </c>
      <c r="D28" s="21" t="s">
        <v>9</v>
      </c>
    </row>
    <row r="29" spans="1:4" ht="15.75">
      <c r="A29" s="11"/>
      <c r="B29" s="22" t="s">
        <v>108</v>
      </c>
      <c r="C29" s="23">
        <f>9780+647.46</f>
        <v>10427.46</v>
      </c>
      <c r="D29" s="21" t="s">
        <v>9</v>
      </c>
    </row>
    <row r="30" spans="1:4" ht="15.75">
      <c r="A30" s="11"/>
      <c r="B30" s="22" t="s">
        <v>37</v>
      </c>
      <c r="C30" s="23">
        <v>416</v>
      </c>
      <c r="D30" s="21" t="s">
        <v>9</v>
      </c>
    </row>
    <row r="31" spans="1:4" ht="15.75">
      <c r="A31" s="11"/>
      <c r="B31" s="22" t="s">
        <v>61</v>
      </c>
      <c r="C31" s="23">
        <v>1654.5</v>
      </c>
      <c r="D31" s="21" t="s">
        <v>9</v>
      </c>
    </row>
    <row r="32" spans="1:4" ht="15.75">
      <c r="A32" s="11"/>
      <c r="B32" s="22" t="s">
        <v>72</v>
      </c>
      <c r="C32" s="23">
        <f>2158.55+104.1</f>
        <v>2262.65</v>
      </c>
      <c r="D32" s="21" t="s">
        <v>9</v>
      </c>
    </row>
    <row r="33" spans="1:4" ht="15.75">
      <c r="A33" s="11"/>
      <c r="B33" s="22" t="s">
        <v>134</v>
      </c>
      <c r="C33" s="23">
        <v>6254.27</v>
      </c>
      <c r="D33" s="21" t="s">
        <v>9</v>
      </c>
    </row>
    <row r="34" spans="1:4" ht="15.75">
      <c r="A34" s="11"/>
      <c r="B34" s="22" t="s">
        <v>135</v>
      </c>
      <c r="C34" s="17">
        <v>1899.06</v>
      </c>
      <c r="D34" s="21" t="s">
        <v>9</v>
      </c>
    </row>
    <row r="35" spans="1:4" ht="15.75">
      <c r="A35" s="11"/>
      <c r="B35" s="22" t="s">
        <v>91</v>
      </c>
      <c r="C35" s="23">
        <v>1049.45</v>
      </c>
      <c r="D35" s="21" t="s">
        <v>9</v>
      </c>
    </row>
    <row r="36" spans="1:4" ht="15.75">
      <c r="A36" s="11"/>
      <c r="B36" s="22" t="s">
        <v>92</v>
      </c>
      <c r="C36" s="23">
        <v>28763.41</v>
      </c>
      <c r="D36" s="21" t="s">
        <v>9</v>
      </c>
    </row>
    <row r="37" spans="1:4" ht="15.75">
      <c r="A37" s="11"/>
      <c r="B37" s="22" t="s">
        <v>107</v>
      </c>
      <c r="C37" s="17">
        <f>2721.58+292+488</f>
        <v>3501.58</v>
      </c>
      <c r="D37" s="21" t="s">
        <v>9</v>
      </c>
    </row>
    <row r="38" spans="1:4" ht="15.75">
      <c r="A38" s="11"/>
      <c r="B38" s="22" t="s">
        <v>75</v>
      </c>
      <c r="C38" s="17">
        <v>640.99</v>
      </c>
      <c r="D38" s="21" t="s">
        <v>9</v>
      </c>
    </row>
    <row r="39" spans="1:4" ht="15.75">
      <c r="A39" s="11"/>
      <c r="B39" s="22" t="s">
        <v>138</v>
      </c>
      <c r="C39" s="17">
        <f>121.04+81.54+91.57</f>
        <v>294.15</v>
      </c>
      <c r="D39" s="21" t="s">
        <v>9</v>
      </c>
    </row>
    <row r="40" spans="1:4" ht="48" customHeight="1">
      <c r="A40" s="11"/>
      <c r="B40" s="19" t="s">
        <v>87</v>
      </c>
      <c r="C40" s="17">
        <v>1802.31</v>
      </c>
      <c r="D40" s="21" t="s">
        <v>9</v>
      </c>
    </row>
    <row r="41" spans="1:4" ht="15.75">
      <c r="A41" s="11"/>
      <c r="B41" s="22"/>
      <c r="C41" s="17"/>
      <c r="D41" s="21"/>
    </row>
    <row r="42" spans="1:4" ht="15.75">
      <c r="A42" s="6"/>
      <c r="B42" s="7"/>
      <c r="C42" s="7"/>
      <c r="D42" s="21"/>
    </row>
    <row r="43" spans="1:4" ht="15.75">
      <c r="A43" s="35"/>
      <c r="B43" s="44" t="s">
        <v>35</v>
      </c>
      <c r="C43" s="34">
        <f>C10-C12</f>
        <v>-35895.79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2.25" customHeight="1">
      <c r="A45" s="48" t="s">
        <v>136</v>
      </c>
      <c r="B45" s="48"/>
      <c r="C45" s="35">
        <v>22602.07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0">
      <selection activeCell="E10" sqref="E1:E16384"/>
    </sheetView>
  </sheetViews>
  <sheetFormatPr defaultColWidth="9.140625" defaultRowHeight="12.75"/>
  <cols>
    <col min="1" max="1" width="5.57421875" style="0" bestFit="1" customWidth="1"/>
    <col min="2" max="2" width="64.8515625" style="0" bestFit="1" customWidth="1"/>
    <col min="3" max="3" width="14.00390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0.5" customHeight="1">
      <c r="A5" s="6"/>
      <c r="B5" s="6"/>
      <c r="C5" s="6"/>
      <c r="D5" s="6"/>
    </row>
    <row r="6" spans="1:4" ht="18" customHeight="1">
      <c r="A6" s="49" t="s">
        <v>114</v>
      </c>
      <c r="B6" s="49"/>
      <c r="C6" s="49"/>
      <c r="D6" s="39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965.3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9961.9*12-5676</f>
        <v>113866.8</v>
      </c>
      <c r="D10" s="21" t="s">
        <v>9</v>
      </c>
    </row>
    <row r="11" spans="1:4" ht="15.75">
      <c r="A11" s="10"/>
      <c r="B11" s="13" t="s">
        <v>10</v>
      </c>
      <c r="C11" s="33">
        <v>89.11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206407.13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1544.48*12</f>
        <v>18533.76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250.98*12</f>
        <v>3011.76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/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8073.72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1727.89*12</f>
        <v>20734.68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936.34*12</f>
        <v>11236.08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212.37*12</f>
        <v>2548.44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1296.96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1467.26*12</f>
        <v>17607.12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SUM(C24:C41)</f>
        <v>123364.61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1221.02</v>
      </c>
      <c r="D24" s="21" t="s">
        <v>9</v>
      </c>
    </row>
    <row r="25" spans="1:4" ht="15.75">
      <c r="A25" s="12"/>
      <c r="B25" s="18" t="s">
        <v>110</v>
      </c>
      <c r="C25" s="31">
        <v>633.5</v>
      </c>
      <c r="D25" s="21" t="s">
        <v>9</v>
      </c>
    </row>
    <row r="26" spans="1:4" ht="15.75">
      <c r="A26" s="12"/>
      <c r="B26" s="19" t="s">
        <v>109</v>
      </c>
      <c r="C26" s="16">
        <v>2750</v>
      </c>
      <c r="D26" s="21" t="s">
        <v>9</v>
      </c>
    </row>
    <row r="27" spans="1:4" ht="15.75">
      <c r="A27" s="11"/>
      <c r="B27" s="22" t="s">
        <v>106</v>
      </c>
      <c r="C27" s="23">
        <v>674</v>
      </c>
      <c r="D27" s="21" t="s">
        <v>9</v>
      </c>
    </row>
    <row r="28" spans="1:4" ht="15.75">
      <c r="A28" s="11"/>
      <c r="B28" s="22" t="s">
        <v>81</v>
      </c>
      <c r="C28" s="23">
        <v>934.71</v>
      </c>
      <c r="D28" s="21" t="s">
        <v>9</v>
      </c>
    </row>
    <row r="29" spans="1:4" ht="15.75">
      <c r="A29" s="11"/>
      <c r="B29" s="22" t="s">
        <v>108</v>
      </c>
      <c r="C29" s="23">
        <f>4890+2295+1532</f>
        <v>8717</v>
      </c>
      <c r="D29" s="21" t="s">
        <v>9</v>
      </c>
    </row>
    <row r="30" spans="1:4" ht="15.75">
      <c r="A30" s="11"/>
      <c r="B30" s="19" t="s">
        <v>111</v>
      </c>
      <c r="C30" s="23">
        <f>331.42+139.54+115.56+200.59</f>
        <v>787.11</v>
      </c>
      <c r="D30" s="21" t="s">
        <v>9</v>
      </c>
    </row>
    <row r="31" spans="1:4" ht="15.75">
      <c r="A31" s="11"/>
      <c r="B31" s="22" t="s">
        <v>61</v>
      </c>
      <c r="C31" s="23">
        <v>827.25</v>
      </c>
      <c r="D31" s="21" t="s">
        <v>9</v>
      </c>
    </row>
    <row r="32" spans="1:4" ht="15.75">
      <c r="A32" s="11"/>
      <c r="B32" s="22" t="s">
        <v>72</v>
      </c>
      <c r="C32" s="23">
        <f>7195.15+104.1</f>
        <v>7299.25</v>
      </c>
      <c r="D32" s="21" t="s">
        <v>9</v>
      </c>
    </row>
    <row r="33" spans="1:4" ht="15.75">
      <c r="A33" s="11"/>
      <c r="B33" s="19" t="s">
        <v>48</v>
      </c>
      <c r="C33" s="23">
        <v>7182</v>
      </c>
      <c r="D33" s="21" t="s">
        <v>9</v>
      </c>
    </row>
    <row r="34" spans="1:4" ht="15.75">
      <c r="A34" s="11"/>
      <c r="B34" s="22" t="s">
        <v>91</v>
      </c>
      <c r="C34" s="23">
        <v>350.88</v>
      </c>
      <c r="D34" s="21" t="s">
        <v>9</v>
      </c>
    </row>
    <row r="35" spans="1:4" ht="15.75">
      <c r="A35" s="11"/>
      <c r="B35" s="22" t="s">
        <v>112</v>
      </c>
      <c r="C35" s="23">
        <v>4040</v>
      </c>
      <c r="D35" s="21" t="s">
        <v>9</v>
      </c>
    </row>
    <row r="36" spans="1:4" ht="15.75">
      <c r="A36" s="11"/>
      <c r="B36" s="22" t="s">
        <v>113</v>
      </c>
      <c r="C36" s="17">
        <f>39046.7+6488.64+1962.3+19474.66</f>
        <v>66972.3</v>
      </c>
      <c r="D36" s="21" t="s">
        <v>9</v>
      </c>
    </row>
    <row r="37" spans="1:4" ht="15.75">
      <c r="A37" s="11"/>
      <c r="B37" s="22" t="s">
        <v>134</v>
      </c>
      <c r="C37" s="23">
        <v>6319.06</v>
      </c>
      <c r="D37" s="21" t="s">
        <v>9</v>
      </c>
    </row>
    <row r="38" spans="1:4" ht="15.75">
      <c r="A38" s="11"/>
      <c r="B38" s="22" t="s">
        <v>135</v>
      </c>
      <c r="C38" s="17">
        <v>1899.06</v>
      </c>
      <c r="D38" s="21" t="s">
        <v>9</v>
      </c>
    </row>
    <row r="39" spans="1:4" ht="15.75">
      <c r="A39" s="11"/>
      <c r="B39" s="22" t="s">
        <v>75</v>
      </c>
      <c r="C39" s="17">
        <f>1281.98</f>
        <v>1281.98</v>
      </c>
      <c r="D39" s="21" t="s">
        <v>9</v>
      </c>
    </row>
    <row r="40" spans="1:4" ht="15.75">
      <c r="A40" s="11"/>
      <c r="B40" s="22" t="s">
        <v>138</v>
      </c>
      <c r="C40" s="17">
        <f>8529.57+242.08+146</f>
        <v>8917.65</v>
      </c>
      <c r="D40" s="21" t="s">
        <v>9</v>
      </c>
    </row>
    <row r="41" spans="1:4" ht="47.25">
      <c r="A41" s="11"/>
      <c r="B41" s="19" t="s">
        <v>87</v>
      </c>
      <c r="C41" s="17">
        <f>1755.84+802</f>
        <v>2557.84</v>
      </c>
      <c r="D41" s="21" t="s">
        <v>9</v>
      </c>
    </row>
    <row r="42" spans="1:4" ht="15.75">
      <c r="A42" s="11"/>
      <c r="B42" s="22"/>
      <c r="C42" s="17"/>
      <c r="D42" s="21"/>
    </row>
    <row r="43" spans="1:4" ht="15.75">
      <c r="A43" s="35"/>
      <c r="B43" s="44" t="s">
        <v>35</v>
      </c>
      <c r="C43" s="34">
        <f>C10-C12</f>
        <v>-92540.33</v>
      </c>
      <c r="D43" s="21" t="s">
        <v>9</v>
      </c>
    </row>
    <row r="44" spans="1:4" ht="15.75">
      <c r="A44" s="35"/>
      <c r="B44" s="35"/>
      <c r="C44" s="35" t="s">
        <v>41</v>
      </c>
      <c r="D44" s="21" t="s">
        <v>9</v>
      </c>
    </row>
    <row r="45" spans="1:4" ht="30.75" customHeight="1">
      <c r="A45" s="48" t="s">
        <v>136</v>
      </c>
      <c r="B45" s="48"/>
      <c r="C45" s="35">
        <v>16732.03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1.28125" style="0" customWidth="1"/>
    <col min="3" max="3" width="16.8515625" style="0" customWidth="1"/>
    <col min="4" max="4" width="8.14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5.25" customHeight="1">
      <c r="A5" s="6"/>
      <c r="B5" s="6"/>
      <c r="C5" s="6"/>
      <c r="D5" s="6"/>
    </row>
    <row r="6" spans="1:4" ht="18.75">
      <c r="A6" s="49" t="s">
        <v>115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966.49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9974.18*12-(473.58*12)+1501.19</f>
        <v>115508.39</v>
      </c>
      <c r="D10" s="21" t="s">
        <v>9</v>
      </c>
    </row>
    <row r="11" spans="1:4" ht="15.75">
      <c r="A11" s="10"/>
      <c r="B11" s="13" t="s">
        <v>10</v>
      </c>
      <c r="C11" s="33">
        <v>88.56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103522.48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1546.38*12</f>
        <v>18556.56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251.29*12</f>
        <v>3015.48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1501.19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8073.72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1730.02*12</f>
        <v>20760.24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937.5*12</f>
        <v>11250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212.63*12</f>
        <v>2551.56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1469.06*12</f>
        <v>17628.72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SUM(C24:C38)</f>
        <v>20185.01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1210.66</v>
      </c>
      <c r="D24" s="21" t="s">
        <v>9</v>
      </c>
    </row>
    <row r="25" spans="1:4" ht="15.75">
      <c r="A25" s="12"/>
      <c r="B25" s="18" t="s">
        <v>116</v>
      </c>
      <c r="C25" s="31">
        <v>5323</v>
      </c>
      <c r="D25" s="21" t="s">
        <v>9</v>
      </c>
    </row>
    <row r="26" spans="1:4" ht="15.75">
      <c r="A26" s="12"/>
      <c r="B26" s="19" t="s">
        <v>117</v>
      </c>
      <c r="C26" s="16">
        <v>1052</v>
      </c>
      <c r="D26" s="21" t="s">
        <v>9</v>
      </c>
    </row>
    <row r="27" spans="1:4" ht="15.75">
      <c r="A27" s="11"/>
      <c r="B27" s="22" t="s">
        <v>118</v>
      </c>
      <c r="C27" s="23">
        <v>234</v>
      </c>
      <c r="D27" s="21" t="s">
        <v>9</v>
      </c>
    </row>
    <row r="28" spans="1:4" ht="15.75">
      <c r="A28" s="11"/>
      <c r="B28" s="22" t="s">
        <v>81</v>
      </c>
      <c r="C28" s="23">
        <v>631.87</v>
      </c>
      <c r="D28" s="21" t="s">
        <v>9</v>
      </c>
    </row>
    <row r="29" spans="1:4" ht="15.75">
      <c r="A29" s="11"/>
      <c r="B29" s="22" t="s">
        <v>37</v>
      </c>
      <c r="C29" s="23">
        <f>288+100</f>
        <v>388</v>
      </c>
      <c r="D29" s="21" t="s">
        <v>9</v>
      </c>
    </row>
    <row r="30" spans="1:4" ht="15.75">
      <c r="A30" s="11"/>
      <c r="B30" s="22" t="s">
        <v>61</v>
      </c>
      <c r="C30" s="23">
        <v>827.25</v>
      </c>
      <c r="D30" s="21" t="s">
        <v>9</v>
      </c>
    </row>
    <row r="31" spans="1:4" ht="15.75">
      <c r="A31" s="11"/>
      <c r="B31" s="19" t="s">
        <v>48</v>
      </c>
      <c r="C31" s="23">
        <v>798</v>
      </c>
      <c r="D31" s="21" t="s">
        <v>9</v>
      </c>
    </row>
    <row r="32" spans="1:4" ht="15" customHeight="1">
      <c r="A32" s="11"/>
      <c r="B32" s="22" t="s">
        <v>91</v>
      </c>
      <c r="C32" s="23">
        <f>350.88+121.04</f>
        <v>471.92</v>
      </c>
      <c r="D32" s="21" t="s">
        <v>9</v>
      </c>
    </row>
    <row r="33" spans="1:4" ht="0.75" customHeight="1" hidden="1">
      <c r="A33" s="11"/>
      <c r="B33" s="22" t="s">
        <v>139</v>
      </c>
      <c r="C33" s="23">
        <v>0</v>
      </c>
      <c r="D33" s="21" t="s">
        <v>9</v>
      </c>
    </row>
    <row r="34" spans="1:4" ht="15.75">
      <c r="A34" s="11"/>
      <c r="B34" s="22" t="s">
        <v>75</v>
      </c>
      <c r="C34" s="17">
        <v>183.14</v>
      </c>
      <c r="D34" s="21" t="s">
        <v>9</v>
      </c>
    </row>
    <row r="35" spans="1:4" ht="15.75">
      <c r="A35" s="11"/>
      <c r="B35" s="22" t="s">
        <v>134</v>
      </c>
      <c r="C35" s="23">
        <v>6397.19</v>
      </c>
      <c r="D35" s="21" t="s">
        <v>9</v>
      </c>
    </row>
    <row r="36" spans="1:4" ht="15.75">
      <c r="A36" s="11"/>
      <c r="B36" s="22" t="s">
        <v>135</v>
      </c>
      <c r="C36" s="17">
        <v>1899.06</v>
      </c>
      <c r="D36" s="21" t="s">
        <v>9</v>
      </c>
    </row>
    <row r="37" spans="1:4" ht="15.75">
      <c r="A37" s="11"/>
      <c r="B37" s="22" t="s">
        <v>138</v>
      </c>
      <c r="C37" s="23">
        <v>488</v>
      </c>
      <c r="D37" s="21" t="s">
        <v>9</v>
      </c>
    </row>
    <row r="38" spans="1:4" ht="44.25" customHeight="1">
      <c r="A38" s="11"/>
      <c r="B38" s="19" t="s">
        <v>87</v>
      </c>
      <c r="C38" s="17">
        <v>280.92</v>
      </c>
      <c r="D38" s="21" t="s">
        <v>9</v>
      </c>
    </row>
    <row r="39" spans="1:4" ht="15.75">
      <c r="A39" s="11"/>
      <c r="B39" s="22"/>
      <c r="D39" s="21"/>
    </row>
    <row r="40" spans="1:4" ht="15.75">
      <c r="A40" s="11"/>
      <c r="B40" s="22"/>
      <c r="C40" s="17"/>
      <c r="D40" s="21"/>
    </row>
    <row r="41" spans="1:4" ht="15.75">
      <c r="A41" s="6"/>
      <c r="B41" s="7"/>
      <c r="C41" s="7"/>
      <c r="D41" s="21"/>
    </row>
    <row r="42" spans="1:4" ht="15.75">
      <c r="A42" s="35"/>
      <c r="B42" s="44" t="s">
        <v>35</v>
      </c>
      <c r="C42" s="34">
        <f>C10-C12</f>
        <v>11985.91</v>
      </c>
      <c r="D42" s="21" t="s">
        <v>9</v>
      </c>
    </row>
    <row r="43" spans="1:4" ht="15.75">
      <c r="A43" s="35"/>
      <c r="B43" s="35"/>
      <c r="C43" s="35" t="s">
        <v>41</v>
      </c>
      <c r="D43" s="21"/>
    </row>
    <row r="44" spans="1:4" ht="30.75" customHeight="1">
      <c r="A44" s="48" t="s">
        <v>136</v>
      </c>
      <c r="B44" s="48"/>
      <c r="C44" s="35">
        <v>28045.83</v>
      </c>
      <c r="D44" s="21" t="s">
        <v>9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57421875" style="0" customWidth="1"/>
    <col min="4" max="4" width="8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119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905.8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9347.86*12-(443.84*12)</f>
        <v>106848.24</v>
      </c>
      <c r="D10" s="21" t="s">
        <v>9</v>
      </c>
    </row>
    <row r="11" spans="1:4" ht="15.75">
      <c r="A11" s="10"/>
      <c r="B11" s="13" t="s">
        <v>10</v>
      </c>
      <c r="C11" s="33">
        <v>90.84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175422.72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1449.28*12</f>
        <v>17391.36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235.51*12</f>
        <v>2826.12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8073.72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1621.38*12</f>
        <v>19456.56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878.63*12</f>
        <v>10543.56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199.28*12</f>
        <v>2391.36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1376.82*12</f>
        <v>16521.84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SUM(C24:C37)</f>
        <v>98218.2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495.58</v>
      </c>
      <c r="D24" s="21" t="s">
        <v>9</v>
      </c>
    </row>
    <row r="25" spans="1:4" ht="15.75">
      <c r="A25" s="12"/>
      <c r="B25" s="18" t="s">
        <v>120</v>
      </c>
      <c r="C25" s="31">
        <f>10082+2445</f>
        <v>12527</v>
      </c>
      <c r="D25" s="21" t="s">
        <v>9</v>
      </c>
    </row>
    <row r="26" spans="1:4" ht="15.75">
      <c r="A26" s="12"/>
      <c r="B26" s="19" t="s">
        <v>117</v>
      </c>
      <c r="C26" s="16">
        <v>526</v>
      </c>
      <c r="D26" s="21" t="s">
        <v>9</v>
      </c>
    </row>
    <row r="27" spans="1:4" ht="15.75">
      <c r="A27" s="11"/>
      <c r="B27" s="22" t="s">
        <v>81</v>
      </c>
      <c r="C27" s="23">
        <v>934.73</v>
      </c>
      <c r="D27" s="21" t="s">
        <v>9</v>
      </c>
    </row>
    <row r="28" spans="1:4" ht="15.75">
      <c r="A28" s="11"/>
      <c r="B28" s="22" t="s">
        <v>37</v>
      </c>
      <c r="C28" s="23">
        <v>360</v>
      </c>
      <c r="D28" s="21" t="s">
        <v>9</v>
      </c>
    </row>
    <row r="29" spans="1:4" ht="15.75">
      <c r="A29" s="11"/>
      <c r="B29" s="22" t="s">
        <v>61</v>
      </c>
      <c r="C29" s="23">
        <v>1654.5</v>
      </c>
      <c r="D29" s="21" t="s">
        <v>9</v>
      </c>
    </row>
    <row r="30" spans="1:4" ht="15.75">
      <c r="A30" s="11"/>
      <c r="B30" s="19" t="s">
        <v>48</v>
      </c>
      <c r="C30" s="23">
        <f>5586+392.4</f>
        <v>5978.4</v>
      </c>
      <c r="D30" s="21" t="s">
        <v>9</v>
      </c>
    </row>
    <row r="31" spans="1:4" ht="15.75">
      <c r="A31" s="11"/>
      <c r="B31" s="22" t="s">
        <v>91</v>
      </c>
      <c r="C31" s="23">
        <f>409.36+200.59</f>
        <v>609.95</v>
      </c>
      <c r="D31" s="21" t="s">
        <v>9</v>
      </c>
    </row>
    <row r="32" spans="1:4" ht="15.75">
      <c r="A32" s="11"/>
      <c r="B32" s="22" t="s">
        <v>121</v>
      </c>
      <c r="C32" s="23">
        <v>61270</v>
      </c>
      <c r="D32" s="21" t="s">
        <v>9</v>
      </c>
    </row>
    <row r="33" spans="1:4" ht="15.75">
      <c r="A33" s="11"/>
      <c r="B33" s="22" t="s">
        <v>134</v>
      </c>
      <c r="C33" s="23">
        <v>6429.58</v>
      </c>
      <c r="D33" s="21" t="s">
        <v>9</v>
      </c>
    </row>
    <row r="34" spans="1:4" ht="15.75">
      <c r="A34" s="11"/>
      <c r="B34" s="22" t="s">
        <v>135</v>
      </c>
      <c r="C34" s="17">
        <v>1899.06</v>
      </c>
      <c r="D34" s="21" t="s">
        <v>9</v>
      </c>
    </row>
    <row r="35" spans="1:4" ht="15.75">
      <c r="A35" s="11"/>
      <c r="B35" s="22" t="s">
        <v>75</v>
      </c>
      <c r="C35" s="17">
        <f>915.7+87.21</f>
        <v>1002.91</v>
      </c>
      <c r="D35" s="21" t="s">
        <v>9</v>
      </c>
    </row>
    <row r="36" spans="1:4" ht="15.75">
      <c r="A36" s="11"/>
      <c r="B36" s="22" t="s">
        <v>72</v>
      </c>
      <c r="C36" s="17">
        <f>1439.03+1</f>
        <v>1440.03</v>
      </c>
      <c r="D36" s="21" t="s">
        <v>9</v>
      </c>
    </row>
    <row r="37" spans="1:4" ht="45.75" customHeight="1">
      <c r="A37" s="11"/>
      <c r="B37" s="19" t="s">
        <v>87</v>
      </c>
      <c r="C37" s="17">
        <v>3090.46</v>
      </c>
      <c r="D37" s="21" t="s">
        <v>9</v>
      </c>
    </row>
    <row r="38" spans="1:4" ht="15.75">
      <c r="A38" s="11"/>
      <c r="B38" s="22"/>
      <c r="D38" s="21"/>
    </row>
    <row r="39" spans="1:4" ht="15.75">
      <c r="A39" s="11"/>
      <c r="B39" s="22"/>
      <c r="C39" s="17"/>
      <c r="D39" s="21"/>
    </row>
    <row r="40" spans="1:4" ht="15.75">
      <c r="A40" s="6"/>
      <c r="B40" s="7"/>
      <c r="C40" s="7"/>
      <c r="D40" s="21"/>
    </row>
    <row r="41" spans="1:4" ht="15.75">
      <c r="A41" s="35"/>
      <c r="B41" s="44" t="s">
        <v>35</v>
      </c>
      <c r="C41" s="34">
        <f>C10-C12</f>
        <v>-68574.48</v>
      </c>
      <c r="D41" s="21" t="s">
        <v>9</v>
      </c>
    </row>
    <row r="42" spans="1:4" ht="15.75">
      <c r="A42" s="35"/>
      <c r="B42" s="35"/>
      <c r="C42" s="35" t="s">
        <v>41</v>
      </c>
      <c r="D42" s="21" t="s">
        <v>9</v>
      </c>
    </row>
    <row r="43" spans="1:4" ht="31.5" customHeight="1">
      <c r="A43" s="48" t="s">
        <v>136</v>
      </c>
      <c r="B43" s="48"/>
      <c r="C43" s="35">
        <v>4221.6</v>
      </c>
      <c r="D43" s="21" t="s">
        <v>9</v>
      </c>
    </row>
    <row r="44" spans="1:4" ht="15.75">
      <c r="A44" s="6"/>
      <c r="B44" s="6"/>
      <c r="C44" s="6"/>
      <c r="D44" s="6"/>
    </row>
    <row r="45" spans="1:4" ht="15.75">
      <c r="A45" s="6"/>
      <c r="B45" s="6"/>
      <c r="C45" s="6"/>
      <c r="D45" s="6"/>
    </row>
  </sheetData>
  <mergeCells count="7">
    <mergeCell ref="A6:C6"/>
    <mergeCell ref="A8:B8"/>
    <mergeCell ref="A43:B43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3" sqref="D13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851562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36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856.7</v>
      </c>
      <c r="D8" s="20" t="s">
        <v>7</v>
      </c>
    </row>
    <row r="9" spans="1:4" ht="15.75">
      <c r="A9" s="6"/>
      <c r="B9" s="8"/>
      <c r="C9" s="33"/>
      <c r="D9" s="21"/>
    </row>
    <row r="10" spans="1:4" ht="15.75">
      <c r="A10" s="10">
        <v>1</v>
      </c>
      <c r="B10" s="32" t="s">
        <v>8</v>
      </c>
      <c r="C10" s="42"/>
      <c r="D10" s="21"/>
    </row>
    <row r="11" spans="1:4" ht="15.75">
      <c r="A11" s="10"/>
      <c r="B11" s="8" t="s">
        <v>21</v>
      </c>
      <c r="C11" s="33">
        <f>7881.64*12-4196.89</f>
        <v>90382.79</v>
      </c>
      <c r="D11" s="21" t="s">
        <v>9</v>
      </c>
    </row>
    <row r="12" spans="1:4" ht="15.75">
      <c r="A12" s="10"/>
      <c r="B12" s="8" t="s">
        <v>10</v>
      </c>
      <c r="C12" s="33">
        <v>92.47</v>
      </c>
      <c r="D12" s="21" t="s">
        <v>11</v>
      </c>
    </row>
    <row r="13" spans="1:4" ht="15.75">
      <c r="A13" s="10">
        <v>2</v>
      </c>
      <c r="B13" s="32" t="s">
        <v>137</v>
      </c>
      <c r="C13" s="33">
        <f>SUM(C14:C23)</f>
        <v>92706.17</v>
      </c>
      <c r="D13" s="21" t="s">
        <v>9</v>
      </c>
    </row>
    <row r="14" spans="1:4" ht="15.75">
      <c r="A14" s="12" t="s">
        <v>24</v>
      </c>
      <c r="B14" s="13" t="s">
        <v>13</v>
      </c>
      <c r="C14" s="14">
        <f>1370.72*12</f>
        <v>16448.64</v>
      </c>
      <c r="D14" s="21" t="s">
        <v>9</v>
      </c>
    </row>
    <row r="15" spans="1:4" ht="15.75" customHeight="1">
      <c r="A15" s="12" t="s">
        <v>25</v>
      </c>
      <c r="B15" s="13" t="s">
        <v>14</v>
      </c>
      <c r="C15" s="14">
        <f>222.74*12</f>
        <v>2672.88</v>
      </c>
      <c r="D15" s="21" t="s">
        <v>9</v>
      </c>
    </row>
    <row r="16" spans="1:4" ht="15.75">
      <c r="A16" s="12" t="s">
        <v>26</v>
      </c>
      <c r="B16" s="13" t="s">
        <v>15</v>
      </c>
      <c r="C16" s="14">
        <v>840.47</v>
      </c>
      <c r="D16" s="21" t="s">
        <v>9</v>
      </c>
    </row>
    <row r="17" spans="1:4" ht="15.75">
      <c r="A17" s="12" t="s">
        <v>27</v>
      </c>
      <c r="B17" s="13" t="s">
        <v>0</v>
      </c>
      <c r="C17" s="14">
        <v>8073.72</v>
      </c>
      <c r="D17" s="21" t="s">
        <v>9</v>
      </c>
    </row>
    <row r="18" spans="1:4" ht="29.25" customHeight="1">
      <c r="A18" s="38" t="s">
        <v>28</v>
      </c>
      <c r="B18" s="13" t="s">
        <v>16</v>
      </c>
      <c r="C18" s="14">
        <f>1053.74*12+5304.45</f>
        <v>17949.33</v>
      </c>
      <c r="D18" s="21" t="s">
        <v>9</v>
      </c>
    </row>
    <row r="19" spans="1:4" ht="15.75" customHeight="1">
      <c r="A19" s="38" t="s">
        <v>29</v>
      </c>
      <c r="B19" s="13" t="s">
        <v>17</v>
      </c>
      <c r="C19" s="14">
        <f>831*12</f>
        <v>9972</v>
      </c>
      <c r="D19" s="21" t="s">
        <v>9</v>
      </c>
    </row>
    <row r="20" spans="1:4" ht="32.25" customHeight="1">
      <c r="A20" s="38" t="s">
        <v>30</v>
      </c>
      <c r="B20" s="13" t="s">
        <v>18</v>
      </c>
      <c r="C20" s="14">
        <f>188.45*12</f>
        <v>2261.4</v>
      </c>
      <c r="D20" s="21" t="s">
        <v>9</v>
      </c>
    </row>
    <row r="21" spans="1:4" ht="15.75">
      <c r="A21" s="12" t="s">
        <v>31</v>
      </c>
      <c r="B21" s="13" t="s">
        <v>22</v>
      </c>
      <c r="C21" s="14">
        <v>0</v>
      </c>
      <c r="D21" s="21" t="s">
        <v>9</v>
      </c>
    </row>
    <row r="22" spans="1:4" ht="15.75">
      <c r="A22" s="12" t="s">
        <v>32</v>
      </c>
      <c r="B22" s="13" t="s">
        <v>19</v>
      </c>
      <c r="C22" s="14">
        <f>1302.18*12</f>
        <v>15626.16</v>
      </c>
      <c r="D22" s="21" t="s">
        <v>9</v>
      </c>
    </row>
    <row r="23" spans="1:4" ht="15.75" customHeight="1">
      <c r="A23" s="12" t="s">
        <v>33</v>
      </c>
      <c r="B23" s="13" t="s">
        <v>20</v>
      </c>
      <c r="C23" s="14">
        <f>C25+C26+C27+C28+C29+C30</f>
        <v>18861.57</v>
      </c>
      <c r="D23" s="21" t="s">
        <v>9</v>
      </c>
    </row>
    <row r="24" spans="1:4" ht="15.75">
      <c r="A24" s="12"/>
      <c r="B24" s="47" t="s">
        <v>23</v>
      </c>
      <c r="C24" s="6"/>
      <c r="D24" s="21"/>
    </row>
    <row r="25" spans="1:4" ht="15.75">
      <c r="A25" s="11"/>
      <c r="B25" s="22" t="s">
        <v>43</v>
      </c>
      <c r="C25" s="17">
        <v>4622.34</v>
      </c>
      <c r="D25" s="21" t="s">
        <v>9</v>
      </c>
    </row>
    <row r="26" spans="1:4" ht="28.5" customHeight="1">
      <c r="A26" s="11"/>
      <c r="B26" s="19" t="s">
        <v>39</v>
      </c>
      <c r="C26" s="17">
        <v>649.58</v>
      </c>
      <c r="D26" s="21" t="s">
        <v>9</v>
      </c>
    </row>
    <row r="27" spans="1:4" ht="15.75">
      <c r="A27" s="11"/>
      <c r="B27" s="22" t="s">
        <v>40</v>
      </c>
      <c r="C27" s="23">
        <v>4656</v>
      </c>
      <c r="D27" s="21" t="s">
        <v>9</v>
      </c>
    </row>
    <row r="28" spans="1:4" ht="32.25" customHeight="1">
      <c r="A28" s="11"/>
      <c r="B28" s="19" t="s">
        <v>280</v>
      </c>
      <c r="C28" s="17">
        <v>1307.28</v>
      </c>
      <c r="D28" s="21" t="s">
        <v>9</v>
      </c>
    </row>
    <row r="29" spans="1:4" ht="15.75">
      <c r="A29" s="11"/>
      <c r="B29" s="22" t="s">
        <v>134</v>
      </c>
      <c r="C29" s="23">
        <v>5859.8</v>
      </c>
      <c r="D29" s="21" t="s">
        <v>9</v>
      </c>
    </row>
    <row r="30" spans="1:4" ht="15.75">
      <c r="A30" s="11"/>
      <c r="B30" s="22" t="s">
        <v>135</v>
      </c>
      <c r="C30" s="17">
        <v>1766.57</v>
      </c>
      <c r="D30" s="21" t="s">
        <v>9</v>
      </c>
    </row>
    <row r="31" spans="1:4" ht="15.75">
      <c r="A31" s="6"/>
      <c r="B31" s="7"/>
      <c r="C31" s="30"/>
      <c r="D31" s="21"/>
    </row>
    <row r="32" spans="1:4" s="43" customFormat="1" ht="15.75">
      <c r="A32" s="35"/>
      <c r="B32" s="44" t="s">
        <v>35</v>
      </c>
      <c r="C32" s="34">
        <f>C9+C11-C13</f>
        <v>-2323.38</v>
      </c>
      <c r="D32" s="21" t="s">
        <v>9</v>
      </c>
    </row>
    <row r="33" spans="1:4" ht="15.75">
      <c r="A33" s="6"/>
      <c r="B33" s="6"/>
      <c r="C33" s="6" t="s">
        <v>41</v>
      </c>
      <c r="D33" s="21"/>
    </row>
    <row r="34" spans="1:4" ht="31.5" customHeight="1">
      <c r="A34" s="48" t="s">
        <v>136</v>
      </c>
      <c r="B34" s="48"/>
      <c r="C34" s="35">
        <v>2296.92</v>
      </c>
      <c r="D34" s="21" t="s">
        <v>9</v>
      </c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4:B3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28125" style="0" customWidth="1"/>
    <col min="3" max="3" width="14.57421875" style="0" customWidth="1"/>
    <col min="4" max="4" width="7.00390625" style="0" customWidth="1"/>
    <col min="5" max="5" width="5.57421875" style="0" bestFit="1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8.25" customHeight="1">
      <c r="A5" s="6"/>
      <c r="B5" s="6"/>
      <c r="C5" s="6"/>
    </row>
    <row r="6" spans="1:4" ht="18.75">
      <c r="A6" s="49" t="s">
        <v>127</v>
      </c>
      <c r="B6" s="49"/>
      <c r="C6" s="49"/>
      <c r="D6" s="49"/>
    </row>
    <row r="7" spans="1:3" ht="9" customHeight="1">
      <c r="A7" s="6"/>
      <c r="B7" s="6"/>
      <c r="C7" s="6"/>
    </row>
    <row r="8" spans="1:4" ht="15.75">
      <c r="A8" s="51" t="s">
        <v>6</v>
      </c>
      <c r="B8" s="51"/>
      <c r="C8" s="32">
        <v>965.35</v>
      </c>
      <c r="D8" s="20" t="s">
        <v>7</v>
      </c>
    </row>
    <row r="9" spans="1:4" ht="15.75">
      <c r="A9" s="10">
        <v>1</v>
      </c>
      <c r="B9" s="32" t="s">
        <v>8</v>
      </c>
      <c r="C9" s="9"/>
      <c r="D9" s="21"/>
    </row>
    <row r="10" spans="1:4" ht="15.75">
      <c r="A10" s="10"/>
      <c r="B10" s="13" t="s">
        <v>21</v>
      </c>
      <c r="C10" s="33">
        <f>9962.41*12-(473.02*12)</f>
        <v>113872.68</v>
      </c>
      <c r="D10" s="21" t="s">
        <v>9</v>
      </c>
    </row>
    <row r="11" spans="1:4" ht="15.75">
      <c r="A11" s="10"/>
      <c r="B11" s="13" t="s">
        <v>10</v>
      </c>
      <c r="C11" s="33">
        <v>84.24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113079.36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1544.56*12</f>
        <v>18534.72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250.99*12</f>
        <v>3011.88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8073.72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1727.98*12</f>
        <v>20735.76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936.39*12</f>
        <v>11236.68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212.38*12</f>
        <v>2548.56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1467.33*12</f>
        <v>17607.96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31330.08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31">
        <v>1443.75</v>
      </c>
      <c r="D24" s="21" t="s">
        <v>9</v>
      </c>
    </row>
    <row r="25" spans="1:4" ht="15.75">
      <c r="A25" s="12"/>
      <c r="B25" s="18" t="s">
        <v>120</v>
      </c>
      <c r="C25" s="31">
        <v>10082</v>
      </c>
      <c r="D25" s="21" t="s">
        <v>9</v>
      </c>
    </row>
    <row r="26" spans="1:4" ht="15.75">
      <c r="A26" s="12"/>
      <c r="B26" s="18" t="s">
        <v>66</v>
      </c>
      <c r="C26" s="31">
        <v>2200</v>
      </c>
      <c r="D26" s="21" t="s">
        <v>9</v>
      </c>
    </row>
    <row r="27" spans="1:4" ht="15.75">
      <c r="A27" s="12"/>
      <c r="B27" s="19" t="s">
        <v>140</v>
      </c>
      <c r="C27" s="16">
        <v>674</v>
      </c>
      <c r="D27" s="21" t="s">
        <v>9</v>
      </c>
    </row>
    <row r="28" spans="1:4" ht="15.75">
      <c r="A28" s="12"/>
      <c r="B28" s="22" t="s">
        <v>81</v>
      </c>
      <c r="C28" s="16">
        <v>2421.87</v>
      </c>
      <c r="D28" s="21" t="s">
        <v>9</v>
      </c>
    </row>
    <row r="29" spans="1:4" ht="15.75">
      <c r="A29" s="12"/>
      <c r="B29" s="22" t="s">
        <v>61</v>
      </c>
      <c r="C29" s="16">
        <v>827.25</v>
      </c>
      <c r="D29" s="21" t="s">
        <v>9</v>
      </c>
    </row>
    <row r="30" spans="1:4" ht="15.75">
      <c r="A30" s="12"/>
      <c r="B30" s="19" t="s">
        <v>48</v>
      </c>
      <c r="C30" s="16">
        <v>638.4</v>
      </c>
      <c r="D30" s="21" t="s">
        <v>9</v>
      </c>
    </row>
    <row r="31" spans="1:4" ht="15.75">
      <c r="A31" s="11"/>
      <c r="B31" s="22" t="s">
        <v>141</v>
      </c>
      <c r="C31" s="23">
        <v>2445</v>
      </c>
      <c r="D31" s="21" t="s">
        <v>9</v>
      </c>
    </row>
    <row r="32" spans="1:4" ht="15.75">
      <c r="A32" s="11"/>
      <c r="B32" s="22" t="s">
        <v>134</v>
      </c>
      <c r="C32" s="23">
        <v>6341.93</v>
      </c>
      <c r="D32" s="21" t="s">
        <v>9</v>
      </c>
    </row>
    <row r="33" spans="1:4" ht="15.75">
      <c r="A33" s="11"/>
      <c r="B33" s="22" t="s">
        <v>135</v>
      </c>
      <c r="C33" s="23">
        <v>1899.06</v>
      </c>
      <c r="D33" s="21" t="s">
        <v>9</v>
      </c>
    </row>
    <row r="34" spans="1:4" ht="43.5" customHeight="1">
      <c r="A34" s="11"/>
      <c r="B34" s="19" t="s">
        <v>87</v>
      </c>
      <c r="C34" s="17">
        <v>2356.82</v>
      </c>
      <c r="D34" s="21" t="s">
        <v>9</v>
      </c>
    </row>
    <row r="35" spans="1:4" ht="15.75">
      <c r="A35" s="6"/>
      <c r="B35" s="7"/>
      <c r="C35" s="7"/>
      <c r="D35" s="20"/>
    </row>
    <row r="36" spans="1:4" ht="15.75">
      <c r="A36" s="6"/>
      <c r="B36" s="44" t="s">
        <v>35</v>
      </c>
      <c r="C36" s="34">
        <f>C10-C12</f>
        <v>793.32</v>
      </c>
      <c r="D36" s="10" t="s">
        <v>9</v>
      </c>
    </row>
    <row r="37" spans="1:4" ht="15.75">
      <c r="A37" s="6"/>
      <c r="B37" s="6"/>
      <c r="C37" s="6" t="s">
        <v>41</v>
      </c>
      <c r="D37" s="10"/>
    </row>
    <row r="38" spans="1:4" ht="23.25" customHeight="1">
      <c r="A38" s="53" t="s">
        <v>126</v>
      </c>
      <c r="B38" s="53"/>
      <c r="C38" s="35">
        <v>48219.14</v>
      </c>
      <c r="D38" s="37" t="s">
        <v>9</v>
      </c>
    </row>
    <row r="39" spans="1:4" ht="15.75">
      <c r="A39" s="6"/>
      <c r="B39" s="6"/>
      <c r="C39" s="6"/>
      <c r="D39" s="10"/>
    </row>
    <row r="40" spans="1:4" ht="15.75">
      <c r="A40" s="6"/>
      <c r="B40" s="6"/>
      <c r="C40" s="6"/>
      <c r="D40" s="10"/>
    </row>
  </sheetData>
  <mergeCells count="7">
    <mergeCell ref="A8:B8"/>
    <mergeCell ref="A38:B38"/>
    <mergeCell ref="A6:D6"/>
    <mergeCell ref="A1:C1"/>
    <mergeCell ref="A2:C2"/>
    <mergeCell ref="A3:C3"/>
    <mergeCell ref="A4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7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" customHeight="1">
      <c r="A5" s="6"/>
      <c r="B5" s="6"/>
      <c r="C5" s="6"/>
      <c r="D5" s="6"/>
    </row>
    <row r="6" spans="1:4" ht="18.75">
      <c r="A6" s="49" t="s">
        <v>142</v>
      </c>
      <c r="B6" s="49"/>
      <c r="C6" s="49"/>
      <c r="D6" s="41"/>
    </row>
    <row r="7" spans="1:4" ht="11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933.7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9635.78*12-5032.61</f>
        <v>110596.75</v>
      </c>
      <c r="D10" s="21" t="s">
        <v>9</v>
      </c>
    </row>
    <row r="11" spans="1:4" ht="15.75">
      <c r="A11" s="10"/>
      <c r="B11" s="13" t="s">
        <v>10</v>
      </c>
      <c r="C11" s="33">
        <v>89.24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113948.13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1493.92*12</f>
        <v>17927.04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242.76*12</f>
        <v>2913.12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457.51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6552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1671.32*12</f>
        <v>20055.84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905.69*12</f>
        <v>10868.28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205.41*12</f>
        <v>2464.92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1419.22*12</f>
        <v>17030.64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35678.78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85</v>
      </c>
      <c r="C24" s="16">
        <v>9748</v>
      </c>
      <c r="D24" s="21" t="s">
        <v>9</v>
      </c>
    </row>
    <row r="25" spans="1:4" ht="15.75">
      <c r="A25" s="12"/>
      <c r="B25" s="19" t="s">
        <v>71</v>
      </c>
      <c r="C25" s="16">
        <v>8951</v>
      </c>
      <c r="D25" s="21" t="s">
        <v>9</v>
      </c>
    </row>
    <row r="26" spans="1:4" ht="15.75">
      <c r="A26" s="11"/>
      <c r="B26" s="22" t="s">
        <v>61</v>
      </c>
      <c r="C26" s="23">
        <v>2481.75</v>
      </c>
      <c r="D26" s="21" t="s">
        <v>9</v>
      </c>
    </row>
    <row r="27" spans="1:4" ht="15.75">
      <c r="A27" s="11"/>
      <c r="B27" s="22" t="s">
        <v>143</v>
      </c>
      <c r="C27" s="23">
        <v>6715.4</v>
      </c>
      <c r="D27" s="21" t="s">
        <v>9</v>
      </c>
    </row>
    <row r="28" spans="1:4" ht="15.75">
      <c r="A28" s="11"/>
      <c r="B28" s="22" t="s">
        <v>134</v>
      </c>
      <c r="C28" s="23">
        <v>6016.06</v>
      </c>
      <c r="D28" s="21" t="s">
        <v>9</v>
      </c>
    </row>
    <row r="29" spans="1:4" ht="15.75">
      <c r="A29" s="11"/>
      <c r="B29" s="22" t="s">
        <v>135</v>
      </c>
      <c r="C29" s="17">
        <v>1766.57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-3351.38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4.5" customHeight="1">
      <c r="A35" s="48" t="s">
        <v>136</v>
      </c>
      <c r="B35" s="48"/>
      <c r="C35" s="35">
        <v>20541.13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2.8515625" style="0" customWidth="1"/>
    <col min="3" max="3" width="13.5742187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.75" customHeight="1">
      <c r="A5" s="6"/>
      <c r="B5" s="6"/>
      <c r="C5" s="6"/>
      <c r="D5" s="6"/>
    </row>
    <row r="6" spans="1:4" ht="18.75">
      <c r="A6" s="49" t="s">
        <v>144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2783.5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28725.72*12-15003.12</f>
        <v>329705.52</v>
      </c>
      <c r="D10" s="21" t="s">
        <v>9</v>
      </c>
    </row>
    <row r="11" spans="1:4" ht="15.75">
      <c r="A11" s="10"/>
      <c r="B11" s="13" t="s">
        <v>10</v>
      </c>
      <c r="C11" s="33">
        <v>81.39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456961.41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4453.6*12</f>
        <v>53443.2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723.71*12</f>
        <v>8684.52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1363.92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15739.2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4982.47*12</f>
        <v>59789.64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2700*12</f>
        <v>32400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612.37*12</f>
        <v>7348.44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4230.92*12</f>
        <v>50771.04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227421.45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 t="s">
        <v>9</v>
      </c>
      <c r="E23" s="29"/>
    </row>
    <row r="24" spans="1:4" ht="15.75">
      <c r="A24" s="12"/>
      <c r="B24" s="18" t="s">
        <v>145</v>
      </c>
      <c r="C24" s="31">
        <v>1952</v>
      </c>
      <c r="D24" s="21" t="s">
        <v>9</v>
      </c>
    </row>
    <row r="25" spans="1:4" ht="15.75">
      <c r="A25" s="12"/>
      <c r="B25" s="19" t="s">
        <v>146</v>
      </c>
      <c r="C25" s="16">
        <v>184157</v>
      </c>
      <c r="D25" s="21" t="s">
        <v>9</v>
      </c>
    </row>
    <row r="26" spans="1:4" ht="15.75">
      <c r="A26" s="12"/>
      <c r="B26" s="19" t="s">
        <v>85</v>
      </c>
      <c r="C26" s="16">
        <v>11640</v>
      </c>
      <c r="D26" s="21" t="s">
        <v>9</v>
      </c>
    </row>
    <row r="27" spans="1:4" ht="15.75">
      <c r="A27" s="12"/>
      <c r="B27" s="19" t="s">
        <v>147</v>
      </c>
      <c r="C27" s="16">
        <v>1016</v>
      </c>
      <c r="D27" s="21" t="s">
        <v>9</v>
      </c>
    </row>
    <row r="28" spans="1:4" ht="15.75">
      <c r="A28" s="11"/>
      <c r="B28" s="22" t="s">
        <v>148</v>
      </c>
      <c r="C28" s="23">
        <v>1532</v>
      </c>
      <c r="D28" s="21" t="s">
        <v>9</v>
      </c>
    </row>
    <row r="29" spans="1:4" ht="15.75">
      <c r="A29" s="11"/>
      <c r="B29" s="22" t="s">
        <v>90</v>
      </c>
      <c r="C29" s="23">
        <v>1140</v>
      </c>
      <c r="D29" s="21" t="s">
        <v>9</v>
      </c>
    </row>
    <row r="30" spans="1:4" ht="15.75">
      <c r="A30" s="11"/>
      <c r="B30" s="22" t="s">
        <v>43</v>
      </c>
      <c r="C30" s="23">
        <v>2311.17</v>
      </c>
      <c r="D30" s="21" t="s">
        <v>9</v>
      </c>
    </row>
    <row r="31" spans="1:4" ht="15.75">
      <c r="A31" s="11"/>
      <c r="B31" s="22" t="s">
        <v>91</v>
      </c>
      <c r="C31" s="23">
        <v>175.44</v>
      </c>
      <c r="D31" s="21" t="s">
        <v>9</v>
      </c>
    </row>
    <row r="32" spans="1:4" ht="15.75">
      <c r="A32" s="11"/>
      <c r="B32" s="22" t="s">
        <v>134</v>
      </c>
      <c r="C32" s="23">
        <v>18147.28</v>
      </c>
      <c r="D32" s="21" t="s">
        <v>9</v>
      </c>
    </row>
    <row r="33" spans="1:4" ht="15.75">
      <c r="A33" s="11"/>
      <c r="B33" s="22" t="s">
        <v>135</v>
      </c>
      <c r="C33" s="17">
        <v>3798.11</v>
      </c>
      <c r="D33" s="21" t="s">
        <v>9</v>
      </c>
    </row>
    <row r="34" spans="1:4" ht="49.5" customHeight="1">
      <c r="A34" s="11"/>
      <c r="B34" s="19" t="s">
        <v>87</v>
      </c>
      <c r="C34" s="17">
        <v>1552.45</v>
      </c>
      <c r="D34" s="21" t="s">
        <v>9</v>
      </c>
    </row>
    <row r="35" spans="1:4" ht="15.75">
      <c r="A35" s="11"/>
      <c r="B35" s="22"/>
      <c r="D35" s="21"/>
    </row>
    <row r="36" spans="1:4" ht="15.75">
      <c r="A36" s="11"/>
      <c r="B36" s="22"/>
      <c r="C36" s="17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-127255.89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34.5" customHeight="1">
      <c r="A40" s="48" t="s">
        <v>136</v>
      </c>
      <c r="B40" s="48"/>
      <c r="C40" s="35">
        <v>128086.46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7">
      <selection activeCell="E7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7.281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8.75">
      <c r="A5" s="49" t="s">
        <v>149</v>
      </c>
      <c r="B5" s="49"/>
      <c r="C5" s="49"/>
      <c r="D5" s="41"/>
    </row>
    <row r="6" spans="1:4" ht="7.5" customHeight="1">
      <c r="A6" s="6"/>
      <c r="B6" s="6"/>
      <c r="C6" s="6"/>
      <c r="D6" s="6"/>
    </row>
    <row r="7" spans="1:4" ht="15.75">
      <c r="A7" s="51" t="s">
        <v>6</v>
      </c>
      <c r="B7" s="51"/>
      <c r="C7" s="32">
        <v>2641.37</v>
      </c>
      <c r="D7" s="20" t="s">
        <v>7</v>
      </c>
    </row>
    <row r="8" spans="1:4" ht="15.75">
      <c r="A8" s="10">
        <v>1</v>
      </c>
      <c r="B8" s="32" t="s">
        <v>8</v>
      </c>
      <c r="C8" s="42"/>
      <c r="D8" s="21"/>
    </row>
    <row r="9" spans="1:4" ht="15.75">
      <c r="A9" s="10"/>
      <c r="B9" s="13" t="s">
        <v>21</v>
      </c>
      <c r="C9" s="33">
        <f>27258.94*12-13590.24</f>
        <v>313517.04</v>
      </c>
      <c r="D9" s="21" t="s">
        <v>9</v>
      </c>
    </row>
    <row r="10" spans="1:4" ht="15.75">
      <c r="A10" s="10"/>
      <c r="B10" s="13" t="s">
        <v>10</v>
      </c>
      <c r="C10" s="33">
        <v>90.27</v>
      </c>
      <c r="D10" s="21" t="s">
        <v>11</v>
      </c>
    </row>
    <row r="11" spans="1:4" ht="15.75">
      <c r="A11" s="10">
        <v>2</v>
      </c>
      <c r="B11" s="32" t="s">
        <v>12</v>
      </c>
      <c r="C11" s="33">
        <f>SUM(C12:C21)</f>
        <v>514786.53</v>
      </c>
      <c r="D11" s="21" t="s">
        <v>9</v>
      </c>
    </row>
    <row r="12" spans="1:5" ht="15.75">
      <c r="A12" s="12" t="s">
        <v>24</v>
      </c>
      <c r="B12" s="13" t="s">
        <v>13</v>
      </c>
      <c r="C12" s="14">
        <f>4226.19*12</f>
        <v>50714.28</v>
      </c>
      <c r="D12" s="21" t="s">
        <v>9</v>
      </c>
      <c r="E12" s="29"/>
    </row>
    <row r="13" spans="1:5" ht="15.75">
      <c r="A13" s="12" t="s">
        <v>25</v>
      </c>
      <c r="B13" s="13" t="s">
        <v>14</v>
      </c>
      <c r="C13" s="14">
        <f>686.76*12</f>
        <v>8241.12</v>
      </c>
      <c r="D13" s="21" t="s">
        <v>9</v>
      </c>
      <c r="E13" s="29"/>
    </row>
    <row r="14" spans="1:5" ht="15.75">
      <c r="A14" s="12" t="s">
        <v>26</v>
      </c>
      <c r="B14" s="13" t="s">
        <v>15</v>
      </c>
      <c r="C14" s="14">
        <v>1941</v>
      </c>
      <c r="D14" s="21" t="s">
        <v>9</v>
      </c>
      <c r="E14" s="29"/>
    </row>
    <row r="15" spans="1:5" ht="15.75">
      <c r="A15" s="12" t="s">
        <v>27</v>
      </c>
      <c r="B15" s="13" t="s">
        <v>0</v>
      </c>
      <c r="C15" s="14">
        <v>18619.2</v>
      </c>
      <c r="D15" s="21" t="s">
        <v>9</v>
      </c>
      <c r="E15" s="29"/>
    </row>
    <row r="16" spans="1:5" ht="31.5">
      <c r="A16" s="38" t="s">
        <v>28</v>
      </c>
      <c r="B16" s="13" t="s">
        <v>16</v>
      </c>
      <c r="C16" s="14">
        <f>4728.05*12</f>
        <v>56736.6</v>
      </c>
      <c r="D16" s="21" t="s">
        <v>9</v>
      </c>
      <c r="E16" s="29"/>
    </row>
    <row r="17" spans="1:5" ht="15.75">
      <c r="A17" s="38" t="s">
        <v>29</v>
      </c>
      <c r="B17" s="13" t="s">
        <v>17</v>
      </c>
      <c r="C17" s="14">
        <f>2562.13*12</f>
        <v>30745.56</v>
      </c>
      <c r="D17" s="21" t="s">
        <v>9</v>
      </c>
      <c r="E17" s="29"/>
    </row>
    <row r="18" spans="1:5" ht="31.5">
      <c r="A18" s="38" t="s">
        <v>30</v>
      </c>
      <c r="B18" s="13" t="s">
        <v>18</v>
      </c>
      <c r="C18" s="14">
        <f>581.1*12</f>
        <v>6973.2</v>
      </c>
      <c r="D18" s="21" t="s">
        <v>9</v>
      </c>
      <c r="E18" s="29"/>
    </row>
    <row r="19" spans="1:5" ht="15.75">
      <c r="A19" s="12" t="s">
        <v>31</v>
      </c>
      <c r="B19" s="13" t="s">
        <v>22</v>
      </c>
      <c r="C19" s="14"/>
      <c r="D19" s="21" t="s">
        <v>9</v>
      </c>
      <c r="E19" s="29"/>
    </row>
    <row r="20" spans="1:5" ht="15.75">
      <c r="A20" s="12" t="s">
        <v>32</v>
      </c>
      <c r="B20" s="13" t="s">
        <v>19</v>
      </c>
      <c r="C20" s="14">
        <f>4014.88*12</f>
        <v>48178.56</v>
      </c>
      <c r="D20" s="21" t="s">
        <v>9</v>
      </c>
      <c r="E20" s="29"/>
    </row>
    <row r="21" spans="1:5" ht="15.75">
      <c r="A21" s="12" t="s">
        <v>33</v>
      </c>
      <c r="B21" s="13" t="s">
        <v>20</v>
      </c>
      <c r="C21" s="30">
        <f>SUM(C23:C42)</f>
        <v>292637.01</v>
      </c>
      <c r="D21" s="21" t="s">
        <v>9</v>
      </c>
      <c r="E21" s="29"/>
    </row>
    <row r="22" spans="1:5" ht="15.75">
      <c r="A22" s="12"/>
      <c r="B22" s="47" t="s">
        <v>23</v>
      </c>
      <c r="C22" s="6"/>
      <c r="D22" s="21"/>
      <c r="E22" s="29"/>
    </row>
    <row r="23" spans="1:4" ht="15.75">
      <c r="A23" s="12"/>
      <c r="B23" s="18" t="s">
        <v>64</v>
      </c>
      <c r="C23" s="28">
        <v>2422.06</v>
      </c>
      <c r="D23" s="21" t="s">
        <v>9</v>
      </c>
    </row>
    <row r="24" spans="1:4" ht="15.75">
      <c r="A24" s="12"/>
      <c r="B24" s="18" t="s">
        <v>151</v>
      </c>
      <c r="C24" s="28">
        <f>1022+180</f>
        <v>1202</v>
      </c>
      <c r="D24" s="21" t="s">
        <v>9</v>
      </c>
    </row>
    <row r="25" spans="1:4" ht="15.75">
      <c r="A25" s="12"/>
      <c r="B25" s="19" t="s">
        <v>284</v>
      </c>
      <c r="C25" s="16">
        <v>12580</v>
      </c>
      <c r="D25" s="21" t="s">
        <v>9</v>
      </c>
    </row>
    <row r="26" spans="1:4" ht="15.75">
      <c r="A26" s="12"/>
      <c r="B26" s="19" t="s">
        <v>150</v>
      </c>
      <c r="C26" s="16">
        <v>3638</v>
      </c>
      <c r="D26" s="21" t="s">
        <v>9</v>
      </c>
    </row>
    <row r="27" spans="1:4" ht="15.75">
      <c r="A27" s="12"/>
      <c r="B27" s="19" t="s">
        <v>85</v>
      </c>
      <c r="C27" s="16">
        <v>11178.16</v>
      </c>
      <c r="D27" s="21" t="s">
        <v>9</v>
      </c>
    </row>
    <row r="28" spans="1:4" ht="15.75">
      <c r="A28" s="12"/>
      <c r="B28" s="19" t="s">
        <v>147</v>
      </c>
      <c r="C28" s="16">
        <v>975.36</v>
      </c>
      <c r="D28" s="21" t="s">
        <v>9</v>
      </c>
    </row>
    <row r="29" spans="1:4" ht="15.75">
      <c r="A29" s="12"/>
      <c r="B29" s="19" t="s">
        <v>152</v>
      </c>
      <c r="C29" s="16">
        <v>2445</v>
      </c>
      <c r="D29" s="21" t="s">
        <v>9</v>
      </c>
    </row>
    <row r="30" spans="1:4" ht="15.75">
      <c r="A30" s="11"/>
      <c r="B30" s="22" t="s">
        <v>80</v>
      </c>
      <c r="C30" s="23">
        <v>91979</v>
      </c>
      <c r="D30" s="21" t="s">
        <v>9</v>
      </c>
    </row>
    <row r="31" spans="1:4" ht="15.75">
      <c r="A31" s="11"/>
      <c r="B31" s="22" t="s">
        <v>153</v>
      </c>
      <c r="C31" s="23">
        <f>2295+4040</f>
        <v>6335</v>
      </c>
      <c r="D31" s="21" t="s">
        <v>9</v>
      </c>
    </row>
    <row r="32" spans="1:4" ht="15.75">
      <c r="A32" s="11"/>
      <c r="B32" s="22" t="s">
        <v>154</v>
      </c>
      <c r="C32" s="23">
        <v>55735</v>
      </c>
      <c r="D32" s="21" t="s">
        <v>9</v>
      </c>
    </row>
    <row r="33" spans="1:4" ht="15.75">
      <c r="A33" s="11"/>
      <c r="B33" s="22" t="s">
        <v>67</v>
      </c>
      <c r="C33" s="23">
        <v>23982.5</v>
      </c>
      <c r="D33" s="21" t="s">
        <v>9</v>
      </c>
    </row>
    <row r="34" spans="1:4" ht="15.75">
      <c r="A34" s="11"/>
      <c r="B34" s="22" t="s">
        <v>43</v>
      </c>
      <c r="C34" s="23">
        <v>2311.17</v>
      </c>
      <c r="D34" s="21" t="s">
        <v>9</v>
      </c>
    </row>
    <row r="35" spans="1:4" ht="15.75">
      <c r="A35" s="11"/>
      <c r="B35" s="22" t="s">
        <v>155</v>
      </c>
      <c r="C35" s="23">
        <v>37436</v>
      </c>
      <c r="D35" s="21" t="s">
        <v>9</v>
      </c>
    </row>
    <row r="36" spans="1:4" ht="15.75">
      <c r="A36" s="11"/>
      <c r="B36" s="22" t="s">
        <v>82</v>
      </c>
      <c r="C36" s="23">
        <v>1578</v>
      </c>
      <c r="D36" s="21" t="s">
        <v>9</v>
      </c>
    </row>
    <row r="37" spans="1:4" ht="15.75">
      <c r="A37" s="11"/>
      <c r="B37" s="19" t="s">
        <v>48</v>
      </c>
      <c r="C37" s="23">
        <v>9576</v>
      </c>
      <c r="D37" s="21" t="s">
        <v>9</v>
      </c>
    </row>
    <row r="38" spans="1:4" ht="15.75">
      <c r="A38" s="11"/>
      <c r="B38" s="22" t="s">
        <v>74</v>
      </c>
      <c r="C38" s="23">
        <v>4186.32</v>
      </c>
      <c r="D38" s="21" t="s">
        <v>9</v>
      </c>
    </row>
    <row r="39" spans="1:4" ht="15.75">
      <c r="A39" s="11"/>
      <c r="B39" s="22" t="s">
        <v>91</v>
      </c>
      <c r="C39" s="23">
        <v>1052.64</v>
      </c>
      <c r="D39" s="21" t="s">
        <v>9</v>
      </c>
    </row>
    <row r="40" spans="1:4" ht="15.75">
      <c r="A40" s="11"/>
      <c r="B40" s="22" t="s">
        <v>134</v>
      </c>
      <c r="C40" s="23">
        <v>8849.73</v>
      </c>
      <c r="D40" s="21" t="s">
        <v>9</v>
      </c>
    </row>
    <row r="41" spans="1:4" ht="15.75">
      <c r="A41" s="11"/>
      <c r="B41" s="22" t="s">
        <v>135</v>
      </c>
      <c r="C41" s="17">
        <v>5564.69</v>
      </c>
      <c r="D41" s="21" t="s">
        <v>9</v>
      </c>
    </row>
    <row r="42" spans="1:4" ht="45.75" customHeight="1">
      <c r="A42" s="11"/>
      <c r="B42" s="19" t="s">
        <v>87</v>
      </c>
      <c r="C42" s="17">
        <f>5917.38+3693</f>
        <v>9610.38</v>
      </c>
      <c r="D42" s="21" t="s">
        <v>9</v>
      </c>
    </row>
    <row r="43" spans="1:4" ht="15.75">
      <c r="A43" s="11"/>
      <c r="B43" s="22"/>
      <c r="D43" s="21"/>
    </row>
    <row r="44" spans="1:4" ht="15.75">
      <c r="A44" s="35"/>
      <c r="B44" s="44" t="s">
        <v>35</v>
      </c>
      <c r="C44" s="34">
        <f>C9-C11</f>
        <v>-201269.49</v>
      </c>
      <c r="D44" s="21" t="s">
        <v>9</v>
      </c>
    </row>
    <row r="45" spans="1:4" ht="15.75">
      <c r="A45" s="35"/>
      <c r="B45" s="35"/>
      <c r="C45" s="35" t="s">
        <v>41</v>
      </c>
      <c r="D45" s="21"/>
    </row>
    <row r="46" spans="1:4" ht="33.75" customHeight="1">
      <c r="A46" s="48" t="s">
        <v>136</v>
      </c>
      <c r="B46" s="48"/>
      <c r="C46" s="35">
        <v>42962.64</v>
      </c>
      <c r="D46" s="21" t="s">
        <v>9</v>
      </c>
    </row>
    <row r="47" spans="1:4" ht="15.75">
      <c r="A47" s="6"/>
      <c r="B47" s="6"/>
      <c r="C47" s="6"/>
      <c r="D47" s="6"/>
    </row>
    <row r="48" spans="1:4" ht="15.75">
      <c r="A48" s="6"/>
      <c r="B48" s="6"/>
      <c r="C48" s="6"/>
      <c r="D48" s="6"/>
    </row>
  </sheetData>
  <mergeCells count="7">
    <mergeCell ref="A5:C5"/>
    <mergeCell ref="A7:B7"/>
    <mergeCell ref="A46:B46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156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3255.1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33592.63*12-11065</f>
        <v>392046.56</v>
      </c>
      <c r="D10" s="21" t="s">
        <v>9</v>
      </c>
    </row>
    <row r="11" spans="1:4" ht="15.75">
      <c r="A11" s="10"/>
      <c r="B11" s="13" t="s">
        <v>10</v>
      </c>
      <c r="C11" s="33">
        <v>87.13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488898.23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5208.16*12</f>
        <v>62497.92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846.33*12</f>
        <v>10155.96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8075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18619.2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5826.63*12</f>
        <v>69919.56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3157.45*12</f>
        <v>37889.4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716.12*12</f>
        <v>8593.44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4947.75*12</f>
        <v>59373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213774.75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2422.06</v>
      </c>
      <c r="D24" s="21" t="s">
        <v>9</v>
      </c>
    </row>
    <row r="25" spans="1:4" ht="15.75">
      <c r="A25" s="12"/>
      <c r="B25" s="19" t="s">
        <v>157</v>
      </c>
      <c r="C25" s="16">
        <v>7425</v>
      </c>
      <c r="D25" s="21" t="s">
        <v>9</v>
      </c>
    </row>
    <row r="26" spans="1:4" ht="15.75">
      <c r="A26" s="12"/>
      <c r="B26" s="19" t="s">
        <v>85</v>
      </c>
      <c r="C26" s="16">
        <f>566.8+3880</f>
        <v>4446.8</v>
      </c>
      <c r="D26" s="21" t="s">
        <v>9</v>
      </c>
    </row>
    <row r="27" spans="1:4" ht="15.75">
      <c r="A27" s="11"/>
      <c r="B27" s="22" t="s">
        <v>80</v>
      </c>
      <c r="C27" s="23">
        <v>77847</v>
      </c>
      <c r="D27" s="21" t="s">
        <v>9</v>
      </c>
    </row>
    <row r="28" spans="1:4" ht="15.75">
      <c r="A28" s="11"/>
      <c r="B28" s="22" t="s">
        <v>67</v>
      </c>
      <c r="C28" s="23">
        <v>5746.75</v>
      </c>
      <c r="D28" s="21" t="s">
        <v>9</v>
      </c>
    </row>
    <row r="29" spans="1:4" ht="15.75">
      <c r="A29" s="11"/>
      <c r="B29" s="22" t="s">
        <v>43</v>
      </c>
      <c r="C29" s="23">
        <v>2311.17</v>
      </c>
      <c r="D29" s="21" t="s">
        <v>9</v>
      </c>
    </row>
    <row r="30" spans="1:4" ht="15.75">
      <c r="A30" s="11"/>
      <c r="B30" s="22" t="s">
        <v>74</v>
      </c>
      <c r="C30" s="23">
        <f>6279.48+58.87</f>
        <v>6338.35</v>
      </c>
      <c r="D30" s="21" t="s">
        <v>9</v>
      </c>
    </row>
    <row r="31" spans="1:4" ht="15.75">
      <c r="A31" s="11"/>
      <c r="B31" s="22" t="s">
        <v>134</v>
      </c>
      <c r="C31" s="23">
        <v>21992.84</v>
      </c>
      <c r="D31" s="21" t="s">
        <v>9</v>
      </c>
    </row>
    <row r="32" spans="1:4" ht="15.75">
      <c r="A32" s="11"/>
      <c r="B32" s="22" t="s">
        <v>135</v>
      </c>
      <c r="C32" s="17">
        <v>5388.02</v>
      </c>
      <c r="D32" s="21" t="s">
        <v>9</v>
      </c>
    </row>
    <row r="33" spans="1:4" ht="15.75">
      <c r="A33" s="11"/>
      <c r="B33" s="22" t="s">
        <v>158</v>
      </c>
      <c r="C33" s="17">
        <f>48868+16145</f>
        <v>65013</v>
      </c>
      <c r="D33" s="21" t="s">
        <v>9</v>
      </c>
    </row>
    <row r="34" spans="1:4" ht="48" customHeight="1">
      <c r="A34" s="11"/>
      <c r="B34" s="19" t="s">
        <v>87</v>
      </c>
      <c r="C34" s="17">
        <v>14843.76</v>
      </c>
      <c r="D34" s="21" t="s">
        <v>9</v>
      </c>
    </row>
    <row r="35" spans="1:4" ht="15.75">
      <c r="A35" s="11"/>
      <c r="B35" s="22"/>
      <c r="D35" s="21"/>
    </row>
    <row r="36" spans="1:4" ht="15.75">
      <c r="A36" s="11"/>
      <c r="B36" s="22"/>
      <c r="C36" s="17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-96851.67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32.25" customHeight="1">
      <c r="A40" s="48" t="s">
        <v>136</v>
      </c>
      <c r="B40" s="48"/>
      <c r="C40" s="35">
        <v>87115.21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7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159</v>
      </c>
      <c r="B6" s="49"/>
      <c r="C6" s="49"/>
      <c r="D6" s="41"/>
    </row>
    <row r="7" spans="1:4" ht="8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3121.17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32210.47*12-3900</f>
        <v>382625.64</v>
      </c>
      <c r="D10" s="21" t="s">
        <v>9</v>
      </c>
    </row>
    <row r="11" spans="1:4" ht="15.75">
      <c r="A11" s="10"/>
      <c r="B11" s="13" t="s">
        <v>10</v>
      </c>
      <c r="C11" s="33">
        <v>89.63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390622.1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4993.87*12</f>
        <v>59926.44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811.5*12</f>
        <v>9738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14040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25344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5586.89*12</f>
        <v>67042.68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3027.53*12</f>
        <v>36330.36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686.66*12</f>
        <v>8239.92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4744.18*12</f>
        <v>56930.16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SUM(C24:C38)</f>
        <v>113030.54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1749.79</v>
      </c>
      <c r="D24" s="21" t="s">
        <v>9</v>
      </c>
    </row>
    <row r="25" spans="1:4" ht="17.25" customHeight="1">
      <c r="A25" s="12"/>
      <c r="B25" s="19" t="s">
        <v>160</v>
      </c>
      <c r="C25" s="16">
        <f>12170+7503</f>
        <v>19673</v>
      </c>
      <c r="D25" s="21" t="s">
        <v>9</v>
      </c>
    </row>
    <row r="26" spans="1:4" ht="15.75">
      <c r="A26" s="12"/>
      <c r="B26" s="19" t="s">
        <v>162</v>
      </c>
      <c r="C26" s="16">
        <v>234</v>
      </c>
      <c r="D26" s="21" t="s">
        <v>9</v>
      </c>
    </row>
    <row r="27" spans="1:4" ht="15.75">
      <c r="A27" s="12"/>
      <c r="B27" s="19" t="s">
        <v>85</v>
      </c>
      <c r="C27" s="16">
        <f>11640+1918.4</f>
        <v>13558.4</v>
      </c>
      <c r="D27" s="21" t="s">
        <v>9</v>
      </c>
    </row>
    <row r="28" spans="1:4" ht="15.75">
      <c r="A28" s="12"/>
      <c r="B28" s="19" t="s">
        <v>71</v>
      </c>
      <c r="C28" s="16">
        <v>22352</v>
      </c>
      <c r="D28" s="21" t="s">
        <v>9</v>
      </c>
    </row>
    <row r="29" spans="1:4" ht="15.75">
      <c r="A29" s="12"/>
      <c r="B29" s="19" t="s">
        <v>163</v>
      </c>
      <c r="C29" s="16">
        <f>2295+2295+4040</f>
        <v>8630</v>
      </c>
      <c r="D29" s="21" t="s">
        <v>9</v>
      </c>
    </row>
    <row r="30" spans="1:4" ht="15.75">
      <c r="A30" s="11"/>
      <c r="B30" s="22" t="s">
        <v>161</v>
      </c>
      <c r="C30" s="23">
        <v>505</v>
      </c>
      <c r="D30" s="21" t="s">
        <v>9</v>
      </c>
    </row>
    <row r="31" spans="1:4" ht="15.75">
      <c r="A31" s="11"/>
      <c r="B31" s="19" t="s">
        <v>48</v>
      </c>
      <c r="C31" s="23">
        <v>2074.8</v>
      </c>
      <c r="D31" s="21" t="s">
        <v>9</v>
      </c>
    </row>
    <row r="32" spans="1:4" ht="15.75">
      <c r="A32" s="11"/>
      <c r="B32" s="22" t="s">
        <v>61</v>
      </c>
      <c r="C32" s="23">
        <f>4963.5+928.54</f>
        <v>5892.04</v>
      </c>
      <c r="D32" s="21" t="s">
        <v>9</v>
      </c>
    </row>
    <row r="33" spans="1:4" ht="15.75">
      <c r="A33" s="11"/>
      <c r="B33" s="22" t="s">
        <v>74</v>
      </c>
      <c r="C33" s="23">
        <f>3837.46+2093.16</f>
        <v>5930.62</v>
      </c>
      <c r="D33" s="21" t="s">
        <v>9</v>
      </c>
    </row>
    <row r="34" spans="1:4" ht="15.75">
      <c r="A34" s="11"/>
      <c r="B34" s="22" t="s">
        <v>91</v>
      </c>
      <c r="C34" s="23">
        <v>935.68</v>
      </c>
      <c r="D34" s="21" t="s">
        <v>9</v>
      </c>
    </row>
    <row r="35" spans="1:4" ht="15.75">
      <c r="A35" s="11"/>
      <c r="B35" s="22" t="s">
        <v>134</v>
      </c>
      <c r="C35" s="23">
        <v>16901</v>
      </c>
      <c r="D35" s="21" t="s">
        <v>9</v>
      </c>
    </row>
    <row r="36" spans="1:4" ht="15.75">
      <c r="A36" s="11"/>
      <c r="B36" s="22" t="s">
        <v>135</v>
      </c>
      <c r="C36" s="17">
        <v>4946.38</v>
      </c>
      <c r="D36" s="21" t="s">
        <v>9</v>
      </c>
    </row>
    <row r="37" spans="1:4" ht="15.75">
      <c r="A37" s="11"/>
      <c r="B37" s="22" t="s">
        <v>75</v>
      </c>
      <c r="C37" s="17">
        <v>2930.24</v>
      </c>
      <c r="D37" s="21" t="s">
        <v>9</v>
      </c>
    </row>
    <row r="38" spans="1:4" ht="47.25" customHeight="1">
      <c r="A38" s="11"/>
      <c r="B38" s="19" t="s">
        <v>87</v>
      </c>
      <c r="C38" s="17">
        <v>6717.59</v>
      </c>
      <c r="D38" s="21" t="s">
        <v>9</v>
      </c>
    </row>
    <row r="39" spans="1:4" ht="15.75">
      <c r="A39" s="11"/>
      <c r="B39" s="22"/>
      <c r="D39" s="21"/>
    </row>
    <row r="40" spans="1:4" ht="15.75">
      <c r="A40" s="11"/>
      <c r="B40" s="22"/>
      <c r="C40" s="17"/>
      <c r="D40" s="21"/>
    </row>
    <row r="41" spans="1:4" ht="15.75">
      <c r="A41" s="6"/>
      <c r="B41" s="7"/>
      <c r="C41" s="7"/>
      <c r="D41" s="21"/>
    </row>
    <row r="42" spans="1:4" ht="15.75">
      <c r="A42" s="35"/>
      <c r="B42" s="44" t="s">
        <v>35</v>
      </c>
      <c r="C42" s="34">
        <f>C10-C12</f>
        <v>-7996.46</v>
      </c>
      <c r="D42" s="21" t="s">
        <v>9</v>
      </c>
    </row>
    <row r="43" spans="1:4" ht="15.75">
      <c r="A43" s="35"/>
      <c r="B43" s="35"/>
      <c r="C43" s="35" t="s">
        <v>41</v>
      </c>
      <c r="D43" s="21"/>
    </row>
    <row r="44" spans="1:4" ht="34.5" customHeight="1">
      <c r="A44" s="48" t="s">
        <v>136</v>
      </c>
      <c r="B44" s="48"/>
      <c r="C44" s="35">
        <v>14301.67</v>
      </c>
      <c r="D44" s="21" t="s">
        <v>9</v>
      </c>
    </row>
    <row r="45" spans="1:4" ht="15.75">
      <c r="A45" s="6"/>
      <c r="B45" s="6"/>
      <c r="C45" s="6"/>
      <c r="D45" s="6"/>
    </row>
    <row r="46" spans="1:4" ht="15.75">
      <c r="A46" s="6"/>
      <c r="B46" s="6"/>
      <c r="C46" s="6"/>
      <c r="D46" s="6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164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481.5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4429.8*12-2831.28</f>
        <v>50326.32</v>
      </c>
      <c r="D10" s="21" t="s">
        <v>9</v>
      </c>
    </row>
    <row r="11" spans="1:4" ht="15.75">
      <c r="A11" s="10"/>
      <c r="B11" s="13" t="s">
        <v>10</v>
      </c>
      <c r="C11" s="33">
        <v>82.35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57204.28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770.4*12</f>
        <v>9244.8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125.19*12</f>
        <v>1502.28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592.25*12</f>
        <v>7107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467.06*12</f>
        <v>5604.72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105.93*12</f>
        <v>1271.16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731.88*12</f>
        <v>8782.56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SUM(C24:C30)</f>
        <v>15814.96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140</v>
      </c>
      <c r="C24" s="31">
        <v>337</v>
      </c>
      <c r="D24" s="21" t="s">
        <v>9</v>
      </c>
    </row>
    <row r="25" spans="1:4" ht="15.75">
      <c r="A25" s="11"/>
      <c r="B25" s="22" t="s">
        <v>66</v>
      </c>
      <c r="C25" s="23">
        <v>660</v>
      </c>
      <c r="D25" s="21" t="s">
        <v>9</v>
      </c>
    </row>
    <row r="26" spans="1:4" ht="15.75">
      <c r="A26" s="11"/>
      <c r="B26" s="22" t="s">
        <v>61</v>
      </c>
      <c r="C26" s="23">
        <v>827.25</v>
      </c>
      <c r="D26" s="21" t="s">
        <v>9</v>
      </c>
    </row>
    <row r="27" spans="1:4" ht="15.75">
      <c r="A27" s="11"/>
      <c r="B27" s="22" t="s">
        <v>143</v>
      </c>
      <c r="C27" s="23">
        <f>5372.32+1678.85</f>
        <v>7051.17</v>
      </c>
      <c r="D27" s="21" t="s">
        <v>9</v>
      </c>
    </row>
    <row r="28" spans="1:4" ht="15.75">
      <c r="A28" s="11"/>
      <c r="B28" s="22" t="s">
        <v>134</v>
      </c>
      <c r="C28" s="23">
        <v>4998.46</v>
      </c>
      <c r="D28" s="21" t="s">
        <v>9</v>
      </c>
    </row>
    <row r="29" spans="1:4" ht="15.75">
      <c r="A29" s="11"/>
      <c r="B29" s="22" t="s">
        <v>135</v>
      </c>
      <c r="C29" s="17">
        <v>971.62</v>
      </c>
      <c r="D29" s="21" t="s">
        <v>9</v>
      </c>
    </row>
    <row r="30" spans="1:4" ht="50.25" customHeight="1">
      <c r="A30" s="11"/>
      <c r="B30" s="19" t="s">
        <v>87</v>
      </c>
      <c r="C30" s="17">
        <v>969.46</v>
      </c>
      <c r="D30" s="21" t="s">
        <v>9</v>
      </c>
    </row>
    <row r="31" spans="1:4" ht="50.25" customHeight="1">
      <c r="A31" s="11"/>
      <c r="B31" s="22"/>
      <c r="D31" s="21"/>
    </row>
    <row r="32" spans="1:4" ht="15.75">
      <c r="A32" s="11"/>
      <c r="B32" s="22"/>
      <c r="C32" s="17"/>
      <c r="D32" s="21"/>
    </row>
    <row r="33" spans="1:4" ht="15.75">
      <c r="A33" s="6"/>
      <c r="B33" s="7"/>
      <c r="C33" s="7"/>
      <c r="D33" s="21"/>
    </row>
    <row r="34" spans="1:4" ht="15.75">
      <c r="A34" s="35"/>
      <c r="B34" s="36" t="s">
        <v>35</v>
      </c>
      <c r="C34" s="34">
        <f>C10-C12</f>
        <v>-6877.96</v>
      </c>
      <c r="D34" s="21" t="s">
        <v>9</v>
      </c>
    </row>
    <row r="35" spans="1:4" ht="15.75">
      <c r="A35" s="35"/>
      <c r="B35" s="35"/>
      <c r="C35" s="35" t="s">
        <v>41</v>
      </c>
      <c r="D35" s="21"/>
    </row>
    <row r="36" spans="1:4" ht="33" customHeight="1">
      <c r="A36" s="48" t="s">
        <v>136</v>
      </c>
      <c r="B36" s="48"/>
      <c r="C36" s="35">
        <v>7734.68</v>
      </c>
      <c r="D36" s="21" t="s">
        <v>9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165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485.91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4470.37*12-2857.2</f>
        <v>50787.24</v>
      </c>
      <c r="D10" s="21" t="s">
        <v>9</v>
      </c>
    </row>
    <row r="11" spans="1:4" ht="15.75">
      <c r="A11" s="10"/>
      <c r="B11" s="13" t="s">
        <v>10</v>
      </c>
      <c r="C11" s="33">
        <v>88.99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65310.93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777.46*12</f>
        <v>9329.52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126.34*12</f>
        <v>1516.08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13104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597.67*12</f>
        <v>7172.04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471.33*12</f>
        <v>5655.96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106.9*12</f>
        <v>1282.8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738.58*12</f>
        <v>8862.96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18387.57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 t="s">
        <v>9</v>
      </c>
      <c r="E23" s="29"/>
    </row>
    <row r="24" spans="1:4" ht="15.75">
      <c r="A24" s="12"/>
      <c r="B24" s="19" t="s">
        <v>147</v>
      </c>
      <c r="C24" s="16">
        <f>4876.8+100</f>
        <v>4976.8</v>
      </c>
      <c r="D24" s="21" t="s">
        <v>9</v>
      </c>
    </row>
    <row r="25" spans="1:4" ht="15.75">
      <c r="A25" s="11"/>
      <c r="B25" s="22" t="s">
        <v>66</v>
      </c>
      <c r="C25" s="23">
        <v>2200</v>
      </c>
      <c r="D25" s="21" t="s">
        <v>9</v>
      </c>
    </row>
    <row r="26" spans="1:4" ht="15.75">
      <c r="A26" s="11"/>
      <c r="B26" s="22" t="s">
        <v>72</v>
      </c>
      <c r="C26" s="23">
        <f>2878.06+1439.03</f>
        <v>4317.09</v>
      </c>
      <c r="D26" s="21" t="s">
        <v>9</v>
      </c>
    </row>
    <row r="27" spans="1:4" ht="15.75">
      <c r="A27" s="11"/>
      <c r="B27" s="22" t="s">
        <v>74</v>
      </c>
      <c r="C27" s="23">
        <v>872.15</v>
      </c>
      <c r="D27" s="21" t="s">
        <v>9</v>
      </c>
    </row>
    <row r="28" spans="1:4" ht="15.75">
      <c r="A28" s="11"/>
      <c r="B28" s="22" t="s">
        <v>134</v>
      </c>
      <c r="C28" s="23">
        <v>5049.91</v>
      </c>
      <c r="D28" s="21" t="s">
        <v>9</v>
      </c>
    </row>
    <row r="29" spans="1:4" ht="15.75">
      <c r="A29" s="11"/>
      <c r="B29" s="22" t="s">
        <v>135</v>
      </c>
      <c r="C29" s="17">
        <v>971.62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-14523.69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4.5" customHeight="1">
      <c r="A35" s="48" t="s">
        <v>136</v>
      </c>
      <c r="B35" s="48"/>
      <c r="C35" s="35">
        <v>3982.57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11811023622047245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8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166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1588.4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16392.29*12-9339.84</f>
        <v>187367.64</v>
      </c>
      <c r="D10" s="21" t="s">
        <v>9</v>
      </c>
    </row>
    <row r="11" spans="1:4" ht="15.75">
      <c r="A11" s="10"/>
      <c r="B11" s="13" t="s">
        <v>10</v>
      </c>
      <c r="C11" s="33">
        <v>88.03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188485.58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2541.44*12</f>
        <v>30497.28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412.98*12</f>
        <v>4955.76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19958.4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2843.24*12</f>
        <v>34118.88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1540.75*12</f>
        <v>18489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349.45*12</f>
        <v>4193.4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2298.68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2414.37*12</f>
        <v>28972.44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SUM(C24:C36)</f>
        <v>45001.74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 t="s">
        <v>9</v>
      </c>
      <c r="E23" s="29"/>
    </row>
    <row r="24" spans="1:4" ht="15.75">
      <c r="A24" s="12"/>
      <c r="B24" s="18" t="s">
        <v>168</v>
      </c>
      <c r="C24" s="31">
        <v>7739</v>
      </c>
      <c r="D24" s="21" t="s">
        <v>9</v>
      </c>
    </row>
    <row r="25" spans="1:4" ht="15.75">
      <c r="A25" s="12"/>
      <c r="B25" s="19" t="s">
        <v>167</v>
      </c>
      <c r="C25" s="16">
        <v>8345</v>
      </c>
      <c r="D25" s="21" t="s">
        <v>9</v>
      </c>
    </row>
    <row r="26" spans="1:4" ht="15.75">
      <c r="A26" s="12"/>
      <c r="B26" s="19" t="s">
        <v>169</v>
      </c>
      <c r="C26" s="16">
        <v>609.6</v>
      </c>
      <c r="D26" s="21" t="s">
        <v>9</v>
      </c>
    </row>
    <row r="27" spans="1:4" ht="15.75">
      <c r="A27" s="12"/>
      <c r="B27" s="19" t="s">
        <v>170</v>
      </c>
      <c r="C27" s="16">
        <v>2721.58</v>
      </c>
      <c r="D27" s="21" t="s">
        <v>9</v>
      </c>
    </row>
    <row r="28" spans="1:4" ht="15.75">
      <c r="A28" s="11"/>
      <c r="B28" s="22" t="s">
        <v>171</v>
      </c>
      <c r="C28" s="23">
        <f>2295+4040</f>
        <v>6335</v>
      </c>
      <c r="D28" s="21" t="s">
        <v>9</v>
      </c>
    </row>
    <row r="29" spans="1:4" ht="15.75">
      <c r="A29" s="11"/>
      <c r="B29" s="22" t="s">
        <v>82</v>
      </c>
      <c r="C29" s="23">
        <v>526</v>
      </c>
      <c r="D29" s="21" t="s">
        <v>9</v>
      </c>
    </row>
    <row r="30" spans="1:4" ht="15.75">
      <c r="A30" s="11"/>
      <c r="B30" s="22" t="s">
        <v>37</v>
      </c>
      <c r="C30" s="23">
        <v>216</v>
      </c>
      <c r="D30" s="21" t="s">
        <v>9</v>
      </c>
    </row>
    <row r="31" spans="1:4" ht="15.75">
      <c r="A31" s="11"/>
      <c r="B31" s="22" t="s">
        <v>72</v>
      </c>
      <c r="C31" s="23">
        <f>719.5+1439.03+1286.2</f>
        <v>3444.73</v>
      </c>
      <c r="D31" s="21" t="s">
        <v>9</v>
      </c>
    </row>
    <row r="32" spans="1:4" ht="15.75">
      <c r="A32" s="11"/>
      <c r="B32" s="22" t="s">
        <v>74</v>
      </c>
      <c r="C32" s="23">
        <v>697.72</v>
      </c>
      <c r="D32" s="21" t="s">
        <v>9</v>
      </c>
    </row>
    <row r="33" spans="1:4" ht="15.75">
      <c r="A33" s="11"/>
      <c r="B33" s="22" t="s">
        <v>134</v>
      </c>
      <c r="C33" s="23">
        <v>8619.15</v>
      </c>
      <c r="D33" s="21" t="s">
        <v>9</v>
      </c>
    </row>
    <row r="34" spans="1:4" ht="15.75">
      <c r="A34" s="11"/>
      <c r="B34" s="22" t="s">
        <v>135</v>
      </c>
      <c r="C34" s="17">
        <v>3488.96</v>
      </c>
      <c r="D34" s="21" t="s">
        <v>9</v>
      </c>
    </row>
    <row r="35" spans="1:4" ht="15.75">
      <c r="A35" s="11"/>
      <c r="B35" s="22" t="s">
        <v>93</v>
      </c>
      <c r="C35" s="17">
        <v>244</v>
      </c>
      <c r="D35" s="21" t="s">
        <v>9</v>
      </c>
    </row>
    <row r="36" spans="1:4" ht="49.5" customHeight="1">
      <c r="A36" s="11"/>
      <c r="B36" s="19" t="s">
        <v>87</v>
      </c>
      <c r="C36" s="17">
        <v>2015</v>
      </c>
      <c r="D36" s="21" t="s">
        <v>9</v>
      </c>
    </row>
    <row r="37" spans="1:4" ht="15.75">
      <c r="A37" s="11"/>
      <c r="B37" s="22"/>
      <c r="D37" s="21"/>
    </row>
    <row r="38" spans="1:4" ht="15.75">
      <c r="A38" s="11"/>
      <c r="B38" s="22"/>
      <c r="C38" s="17"/>
      <c r="D38" s="21"/>
    </row>
    <row r="39" spans="1:4" ht="15.75">
      <c r="A39" s="6"/>
      <c r="B39" s="7"/>
      <c r="C39" s="7"/>
      <c r="D39" s="21"/>
    </row>
    <row r="40" spans="1:4" ht="15.75">
      <c r="A40" s="35"/>
      <c r="B40" s="44" t="s">
        <v>35</v>
      </c>
      <c r="C40" s="34">
        <f>C10-C12</f>
        <v>-1117.94</v>
      </c>
      <c r="D40" s="21" t="s">
        <v>9</v>
      </c>
    </row>
    <row r="41" spans="1:4" ht="15.75">
      <c r="A41" s="35"/>
      <c r="B41" s="35"/>
      <c r="C41" s="35" t="s">
        <v>41</v>
      </c>
      <c r="D41" s="21"/>
    </row>
    <row r="42" spans="1:4" ht="31.5" customHeight="1">
      <c r="A42" s="48" t="s">
        <v>136</v>
      </c>
      <c r="B42" s="48"/>
      <c r="C42" s="35">
        <v>5426.56</v>
      </c>
      <c r="D42" s="21" t="s">
        <v>9</v>
      </c>
    </row>
    <row r="43" spans="1:4" ht="15.75">
      <c r="A43" s="6"/>
      <c r="B43" s="6"/>
      <c r="C43" s="6"/>
      <c r="D43" s="6"/>
    </row>
    <row r="44" spans="1:4" ht="15.75">
      <c r="A44" s="6"/>
      <c r="B44" s="6"/>
      <c r="C44" s="6"/>
      <c r="D44" s="6"/>
    </row>
  </sheetData>
  <mergeCells count="7">
    <mergeCell ref="A6:C6"/>
    <mergeCell ref="A8:B8"/>
    <mergeCell ref="A42:B42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E7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172</v>
      </c>
      <c r="B6" s="49"/>
      <c r="C6" s="49"/>
      <c r="D6" s="41"/>
    </row>
    <row r="7" spans="1:4" ht="8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370.4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3407.68*12-2178</f>
        <v>38714.16</v>
      </c>
      <c r="D10" s="21" t="s">
        <v>9</v>
      </c>
    </row>
    <row r="11" spans="1:4" ht="15.75">
      <c r="A11" s="10"/>
      <c r="B11" s="13" t="s">
        <v>10</v>
      </c>
      <c r="C11" s="33">
        <v>78.29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56173.88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592.64*12</f>
        <v>7111.68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96.3*12</f>
        <v>1155.6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19958.4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455.59*12</f>
        <v>5467.08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359.29*12</f>
        <v>4311.48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81.49*12</f>
        <v>977.88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563.01*12</f>
        <v>6756.12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SUM(C24:C28)</f>
        <v>10435.64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 t="s">
        <v>9</v>
      </c>
      <c r="E23" s="29"/>
    </row>
    <row r="24" spans="1:4" ht="15.75">
      <c r="A24" s="12"/>
      <c r="B24" s="19" t="s">
        <v>147</v>
      </c>
      <c r="C24" s="16">
        <f>406.4+1060+436+100</f>
        <v>2002.4</v>
      </c>
      <c r="D24" s="21" t="s">
        <v>9</v>
      </c>
    </row>
    <row r="25" spans="1:4" ht="15.75">
      <c r="A25" s="11"/>
      <c r="B25" s="22" t="s">
        <v>66</v>
      </c>
      <c r="C25" s="23">
        <v>1540</v>
      </c>
      <c r="D25" s="21" t="s">
        <v>9</v>
      </c>
    </row>
    <row r="26" spans="1:4" ht="15.75">
      <c r="A26" s="11"/>
      <c r="B26" s="22" t="s">
        <v>134</v>
      </c>
      <c r="C26" s="23">
        <v>5030.85</v>
      </c>
      <c r="D26" s="21" t="s">
        <v>9</v>
      </c>
    </row>
    <row r="27" spans="1:4" ht="15.75">
      <c r="A27" s="11"/>
      <c r="B27" s="22" t="s">
        <v>135</v>
      </c>
      <c r="C27" s="17">
        <v>971.62</v>
      </c>
      <c r="D27" s="21" t="s">
        <v>9</v>
      </c>
    </row>
    <row r="28" spans="1:4" ht="48.75" customHeight="1">
      <c r="A28" s="11"/>
      <c r="B28" s="19" t="s">
        <v>87</v>
      </c>
      <c r="C28" s="17">
        <v>890.77</v>
      </c>
      <c r="D28" s="21" t="s">
        <v>9</v>
      </c>
    </row>
    <row r="29" spans="1:4" ht="15.75">
      <c r="A29" s="11"/>
      <c r="B29" s="22"/>
      <c r="D29" s="21"/>
    </row>
    <row r="30" spans="1:4" ht="15.75">
      <c r="A30" s="11"/>
      <c r="B30" s="22"/>
      <c r="C30" s="17"/>
      <c r="D30" s="21"/>
    </row>
    <row r="31" spans="1:4" ht="15.75">
      <c r="A31" s="6"/>
      <c r="B31" s="7"/>
      <c r="C31" s="7"/>
      <c r="D31" s="21"/>
    </row>
    <row r="32" spans="1:4" ht="15.75">
      <c r="A32" s="35"/>
      <c r="B32" s="44" t="s">
        <v>35</v>
      </c>
      <c r="C32" s="34">
        <f>C10-C12</f>
        <v>-17459.72</v>
      </c>
      <c r="D32" s="21" t="s">
        <v>9</v>
      </c>
    </row>
    <row r="33" spans="1:4" ht="15.75">
      <c r="A33" s="35"/>
      <c r="B33" s="35"/>
      <c r="C33" s="35" t="s">
        <v>41</v>
      </c>
      <c r="D33" s="21"/>
    </row>
    <row r="34" spans="1:4" ht="32.25" customHeight="1">
      <c r="A34" s="48" t="s">
        <v>136</v>
      </c>
      <c r="B34" s="48"/>
      <c r="C34" s="35">
        <v>22795.97</v>
      </c>
      <c r="D34" s="21" t="s">
        <v>9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58.7109375" style="0" customWidth="1"/>
    <col min="3" max="3" width="15.710937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42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826.5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7.25" customHeight="1">
      <c r="A10" s="10"/>
      <c r="B10" s="13" t="s">
        <v>21</v>
      </c>
      <c r="C10" s="33">
        <f>7603.8*12-4049.89</f>
        <v>87195.71</v>
      </c>
      <c r="D10" s="21" t="s">
        <v>9</v>
      </c>
    </row>
    <row r="11" spans="1:4" ht="17.25" customHeight="1">
      <c r="A11" s="10"/>
      <c r="B11" s="13" t="s">
        <v>10</v>
      </c>
      <c r="C11" s="33">
        <v>88.81</v>
      </c>
      <c r="D11" s="21" t="s">
        <v>11</v>
      </c>
    </row>
    <row r="12" spans="1:4" ht="30.75" customHeight="1">
      <c r="A12" s="10">
        <v>2</v>
      </c>
      <c r="B12" s="32" t="s">
        <v>137</v>
      </c>
      <c r="C12" s="33">
        <f>SUM(C13:C22)</f>
        <v>88043.78</v>
      </c>
      <c r="D12" s="21" t="s">
        <v>9</v>
      </c>
    </row>
    <row r="13" spans="1:4" ht="15.75" customHeight="1">
      <c r="A13" s="12" t="s">
        <v>24</v>
      </c>
      <c r="B13" s="13" t="s">
        <v>13</v>
      </c>
      <c r="C13" s="14">
        <f>1322.4*12</f>
        <v>15868.8</v>
      </c>
      <c r="D13" s="21" t="s">
        <v>9</v>
      </c>
    </row>
    <row r="14" spans="1:4" ht="15.75" customHeight="1">
      <c r="A14" s="12" t="s">
        <v>25</v>
      </c>
      <c r="B14" s="13" t="s">
        <v>14</v>
      </c>
      <c r="C14" s="14">
        <f>214.89*12</f>
        <v>2578.68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809.99</v>
      </c>
      <c r="D15" s="21" t="s">
        <v>9</v>
      </c>
    </row>
    <row r="16" spans="1:4" ht="15.75" customHeight="1">
      <c r="A16" s="12" t="s">
        <v>27</v>
      </c>
      <c r="B16" s="13" t="s">
        <v>0</v>
      </c>
      <c r="C16" s="14">
        <v>8073.72</v>
      </c>
      <c r="D16" s="21" t="s">
        <v>9</v>
      </c>
    </row>
    <row r="17" spans="1:4" ht="30" customHeight="1">
      <c r="A17" s="38" t="s">
        <v>28</v>
      </c>
      <c r="B17" s="13" t="s">
        <v>16</v>
      </c>
      <c r="C17" s="14">
        <v>17356.5</v>
      </c>
      <c r="D17" s="21" t="s">
        <v>9</v>
      </c>
    </row>
    <row r="18" spans="1:4" ht="15.75" customHeight="1">
      <c r="A18" s="38" t="s">
        <v>29</v>
      </c>
      <c r="B18" s="13" t="s">
        <v>17</v>
      </c>
      <c r="C18" s="14">
        <f>801.71*12</f>
        <v>9620.52</v>
      </c>
      <c r="D18" s="21" t="s">
        <v>9</v>
      </c>
    </row>
    <row r="19" spans="1:4" ht="29.25" customHeight="1">
      <c r="A19" s="38" t="s">
        <v>30</v>
      </c>
      <c r="B19" s="13" t="s">
        <v>18</v>
      </c>
      <c r="C19" s="14">
        <f>181.83*12</f>
        <v>2181.96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1256.28*12</f>
        <v>15075.36</v>
      </c>
      <c r="D21" s="21" t="s">
        <v>9</v>
      </c>
    </row>
    <row r="22" spans="1:4" ht="15.75" customHeight="1">
      <c r="A22" s="12" t="s">
        <v>33</v>
      </c>
      <c r="B22" s="13" t="s">
        <v>20</v>
      </c>
      <c r="C22" s="14">
        <f>C24+C25+C26+C27+C28+C29</f>
        <v>16478.25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 customHeight="1">
      <c r="A24" s="12"/>
      <c r="B24" s="19" t="s">
        <v>44</v>
      </c>
      <c r="C24" s="16">
        <v>2581.6</v>
      </c>
      <c r="D24" s="21" t="s">
        <v>9</v>
      </c>
    </row>
    <row r="25" spans="1:4" ht="15.75">
      <c r="A25" s="11"/>
      <c r="B25" s="22" t="s">
        <v>43</v>
      </c>
      <c r="C25" s="17">
        <v>4622.34</v>
      </c>
      <c r="D25" s="21" t="s">
        <v>9</v>
      </c>
    </row>
    <row r="26" spans="1:4" ht="15.75">
      <c r="A26" s="11"/>
      <c r="B26" s="22" t="s">
        <v>40</v>
      </c>
      <c r="C26" s="17">
        <v>776</v>
      </c>
      <c r="D26" s="21" t="s">
        <v>9</v>
      </c>
    </row>
    <row r="27" spans="1:4" ht="15.75" customHeight="1">
      <c r="A27" s="11"/>
      <c r="B27" s="19" t="s">
        <v>280</v>
      </c>
      <c r="C27" s="17">
        <v>1047.26</v>
      </c>
      <c r="D27" s="21" t="s">
        <v>9</v>
      </c>
    </row>
    <row r="28" spans="1:4" ht="15.75">
      <c r="A28" s="11"/>
      <c r="B28" s="22" t="s">
        <v>134</v>
      </c>
      <c r="C28" s="23">
        <v>5684.48</v>
      </c>
      <c r="D28" s="21" t="s">
        <v>9</v>
      </c>
    </row>
    <row r="29" spans="1:4" ht="15.75">
      <c r="A29" s="11"/>
      <c r="B29" s="22" t="s">
        <v>135</v>
      </c>
      <c r="C29" s="17">
        <v>1766.57</v>
      </c>
      <c r="D29" s="21" t="s">
        <v>9</v>
      </c>
    </row>
    <row r="30" spans="1:4" ht="15.75">
      <c r="A30" s="6"/>
      <c r="B30" s="7"/>
      <c r="C30" s="7"/>
      <c r="D30" s="21"/>
    </row>
    <row r="31" spans="1:4" ht="15.75">
      <c r="A31" s="6"/>
      <c r="B31" s="44" t="s">
        <v>35</v>
      </c>
      <c r="C31" s="34">
        <f>C10-C12</f>
        <v>-848.07</v>
      </c>
      <c r="D31" s="21" t="s">
        <v>9</v>
      </c>
    </row>
    <row r="32" spans="1:4" ht="15.75">
      <c r="A32" s="6"/>
      <c r="B32" s="6"/>
      <c r="C32" s="6" t="s">
        <v>41</v>
      </c>
      <c r="D32" s="21" t="s">
        <v>9</v>
      </c>
    </row>
    <row r="33" spans="1:4" ht="30" customHeight="1">
      <c r="A33" s="48" t="s">
        <v>136</v>
      </c>
      <c r="B33" s="48"/>
      <c r="C33" s="35">
        <v>3542.36</v>
      </c>
      <c r="D33" s="21" t="s">
        <v>9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</sheetData>
  <mergeCells count="6">
    <mergeCell ref="A33:B33"/>
    <mergeCell ref="A6:C6"/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3.75" customHeight="1">
      <c r="A5" s="6"/>
      <c r="B5" s="6"/>
      <c r="C5" s="6"/>
      <c r="D5" s="6"/>
    </row>
    <row r="6" spans="1:4" ht="18.75">
      <c r="A6" s="49" t="s">
        <v>173</v>
      </c>
      <c r="B6" s="49"/>
      <c r="C6" s="49"/>
      <c r="D6" s="41"/>
    </row>
    <row r="7" spans="1:4" ht="6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617.7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5682.84*12-3632.04</f>
        <v>64562.04</v>
      </c>
      <c r="D10" s="21" t="s">
        <v>9</v>
      </c>
    </row>
    <row r="11" spans="1:4" ht="15.75">
      <c r="A11" s="10"/>
      <c r="B11" s="13" t="s">
        <v>10</v>
      </c>
      <c r="C11" s="33">
        <v>80.87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106793.62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988.32*12</f>
        <v>11859.84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160.6*12</f>
        <v>1927.2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759.77*12</f>
        <v>9117.24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599.17*12</f>
        <v>7190.04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135.89*12</f>
        <v>1630.68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938.9*12</f>
        <v>11266.8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SUM(C24:C35)</f>
        <v>55925.02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 t="s">
        <v>9</v>
      </c>
      <c r="E23" s="29"/>
    </row>
    <row r="24" spans="1:4" ht="15.75">
      <c r="A24" s="12"/>
      <c r="B24" s="18" t="s">
        <v>64</v>
      </c>
      <c r="C24" s="31">
        <v>408</v>
      </c>
      <c r="D24" s="21" t="s">
        <v>9</v>
      </c>
    </row>
    <row r="25" spans="1:4" ht="15.75">
      <c r="A25" s="11"/>
      <c r="B25" s="22" t="s">
        <v>174</v>
      </c>
      <c r="C25" s="23">
        <v>27950.54</v>
      </c>
      <c r="D25" s="21" t="s">
        <v>9</v>
      </c>
    </row>
    <row r="26" spans="1:4" ht="15.75">
      <c r="A26" s="11"/>
      <c r="B26" s="22" t="s">
        <v>67</v>
      </c>
      <c r="C26" s="23">
        <v>2810.5</v>
      </c>
      <c r="D26" s="21" t="s">
        <v>9</v>
      </c>
    </row>
    <row r="27" spans="1:4" ht="15.75">
      <c r="A27" s="11"/>
      <c r="B27" s="22" t="s">
        <v>81</v>
      </c>
      <c r="C27" s="23">
        <v>1168.16</v>
      </c>
      <c r="D27" s="21" t="s">
        <v>9</v>
      </c>
    </row>
    <row r="28" spans="1:4" ht="15.75">
      <c r="A28" s="11"/>
      <c r="B28" s="22" t="s">
        <v>175</v>
      </c>
      <c r="C28" s="23">
        <v>133</v>
      </c>
      <c r="D28" s="21" t="s">
        <v>9</v>
      </c>
    </row>
    <row r="29" spans="1:4" ht="15.75">
      <c r="A29" s="11"/>
      <c r="B29" s="22" t="s">
        <v>61</v>
      </c>
      <c r="C29" s="23">
        <v>1654.5</v>
      </c>
      <c r="D29" s="21" t="s">
        <v>9</v>
      </c>
    </row>
    <row r="30" spans="1:4" ht="15.75">
      <c r="A30" s="11"/>
      <c r="B30" s="22" t="s">
        <v>72</v>
      </c>
      <c r="C30" s="23">
        <f>719.52+1439.03</f>
        <v>2158.55</v>
      </c>
      <c r="D30" s="21" t="s">
        <v>9</v>
      </c>
    </row>
    <row r="31" spans="1:4" ht="15.75">
      <c r="A31" s="11"/>
      <c r="B31" s="22" t="s">
        <v>74</v>
      </c>
      <c r="C31" s="23">
        <v>348.86</v>
      </c>
      <c r="D31" s="21" t="s">
        <v>9</v>
      </c>
    </row>
    <row r="32" spans="1:4" ht="15.75">
      <c r="A32" s="11"/>
      <c r="B32" s="22" t="s">
        <v>92</v>
      </c>
      <c r="C32" s="23">
        <f>9519.65+4190.58</f>
        <v>13710.23</v>
      </c>
      <c r="D32" s="21" t="s">
        <v>9</v>
      </c>
    </row>
    <row r="33" spans="1:4" ht="15.75">
      <c r="A33" s="11"/>
      <c r="B33" s="22" t="s">
        <v>134</v>
      </c>
      <c r="C33" s="23">
        <v>3649.27</v>
      </c>
      <c r="D33" s="21" t="s">
        <v>9</v>
      </c>
    </row>
    <row r="34" spans="1:4" ht="15.75">
      <c r="A34" s="11"/>
      <c r="B34" s="22" t="s">
        <v>135</v>
      </c>
      <c r="C34" s="17">
        <v>662.47</v>
      </c>
      <c r="D34" s="21" t="s">
        <v>9</v>
      </c>
    </row>
    <row r="35" spans="1:4" ht="49.5" customHeight="1">
      <c r="A35" s="11"/>
      <c r="B35" s="19" t="s">
        <v>87</v>
      </c>
      <c r="C35" s="17">
        <v>1270.94</v>
      </c>
      <c r="D35" s="21" t="s">
        <v>9</v>
      </c>
    </row>
    <row r="36" spans="1:4" ht="15.75">
      <c r="A36" s="11"/>
      <c r="B36" s="22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-42231.58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29.25" customHeight="1">
      <c r="A40" s="48" t="s">
        <v>136</v>
      </c>
      <c r="B40" s="48"/>
      <c r="C40" s="35">
        <v>19320.6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4.5" customHeight="1">
      <c r="A5" s="6"/>
      <c r="B5" s="6"/>
      <c r="C5" s="6"/>
      <c r="D5" s="6"/>
    </row>
    <row r="6" spans="1:4" ht="18.75">
      <c r="A6" s="49" t="s">
        <v>176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714.5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6573.4*12</f>
        <v>78880.8</v>
      </c>
      <c r="D10" s="21" t="s">
        <v>9</v>
      </c>
    </row>
    <row r="11" spans="1:4" ht="15.75">
      <c r="A11" s="10"/>
      <c r="B11" s="13" t="s">
        <v>10</v>
      </c>
      <c r="C11" s="33">
        <v>70.87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92982.27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1143.2*12</f>
        <v>13718.4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185.77*12</f>
        <v>2229.24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5371.2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2880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878.84*12</f>
        <v>10546.08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693.07*12</f>
        <v>8316.84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157.19*12</f>
        <v>1886.28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1086.04*12</f>
        <v>13032.48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SUM(C24:C37)</f>
        <v>35001.75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195.8</v>
      </c>
      <c r="D24" s="21" t="s">
        <v>9</v>
      </c>
    </row>
    <row r="25" spans="1:4" ht="15.75">
      <c r="A25" s="12"/>
      <c r="B25" s="18" t="s">
        <v>285</v>
      </c>
      <c r="C25" s="28">
        <v>6358</v>
      </c>
      <c r="D25" s="21" t="s">
        <v>9</v>
      </c>
    </row>
    <row r="26" spans="1:4" ht="15.75">
      <c r="A26" s="12"/>
      <c r="B26" s="19" t="s">
        <v>177</v>
      </c>
      <c r="C26" s="16">
        <v>3334</v>
      </c>
      <c r="D26" s="21" t="s">
        <v>9</v>
      </c>
    </row>
    <row r="27" spans="1:4" ht="15.75">
      <c r="A27" s="12"/>
      <c r="B27" s="19" t="s">
        <v>85</v>
      </c>
      <c r="C27" s="16">
        <f>610.4+6208</f>
        <v>6818.4</v>
      </c>
      <c r="D27" s="21" t="s">
        <v>9</v>
      </c>
    </row>
    <row r="28" spans="1:4" ht="15.75">
      <c r="A28" s="12"/>
      <c r="B28" s="19" t="s">
        <v>147</v>
      </c>
      <c r="C28" s="16">
        <v>762</v>
      </c>
      <c r="D28" s="21" t="s">
        <v>9</v>
      </c>
    </row>
    <row r="29" spans="1:4" ht="15.75">
      <c r="A29" s="11"/>
      <c r="B29" s="22" t="s">
        <v>118</v>
      </c>
      <c r="C29" s="23">
        <v>182</v>
      </c>
      <c r="D29" s="21" t="s">
        <v>9</v>
      </c>
    </row>
    <row r="30" spans="1:4" ht="15.75">
      <c r="A30" s="11"/>
      <c r="B30" s="22" t="s">
        <v>81</v>
      </c>
      <c r="C30" s="23">
        <v>389.39</v>
      </c>
      <c r="D30" s="21" t="s">
        <v>9</v>
      </c>
    </row>
    <row r="31" spans="1:4" ht="15.75">
      <c r="A31" s="11"/>
      <c r="B31" s="22" t="s">
        <v>82</v>
      </c>
      <c r="C31" s="23">
        <v>526</v>
      </c>
      <c r="D31" s="21" t="s">
        <v>9</v>
      </c>
    </row>
    <row r="32" spans="1:4" ht="15.75">
      <c r="A32" s="11"/>
      <c r="B32" s="22" t="s">
        <v>61</v>
      </c>
      <c r="C32" s="23">
        <v>1654.5</v>
      </c>
      <c r="D32" s="21" t="s">
        <v>9</v>
      </c>
    </row>
    <row r="33" spans="1:4" ht="15.75">
      <c r="A33" s="11"/>
      <c r="B33" s="22" t="s">
        <v>72</v>
      </c>
      <c r="C33" s="23">
        <v>1439.03</v>
      </c>
      <c r="D33" s="21" t="s">
        <v>9</v>
      </c>
    </row>
    <row r="34" spans="1:4" ht="15.75">
      <c r="A34" s="11"/>
      <c r="B34" s="22" t="s">
        <v>91</v>
      </c>
      <c r="C34" s="23">
        <v>584.8</v>
      </c>
      <c r="D34" s="21" t="s">
        <v>9</v>
      </c>
    </row>
    <row r="35" spans="1:4" ht="15.75">
      <c r="A35" s="11"/>
      <c r="B35" s="22" t="s">
        <v>134</v>
      </c>
      <c r="C35" s="23">
        <v>4916.52</v>
      </c>
      <c r="D35" s="21" t="s">
        <v>9</v>
      </c>
    </row>
    <row r="36" spans="1:4" ht="15.75">
      <c r="A36" s="11"/>
      <c r="B36" s="22" t="s">
        <v>135</v>
      </c>
      <c r="C36" s="17">
        <v>2075.7</v>
      </c>
      <c r="D36" s="21" t="s">
        <v>9</v>
      </c>
    </row>
    <row r="37" spans="1:4" ht="44.25" customHeight="1">
      <c r="A37" s="11"/>
      <c r="B37" s="19" t="s">
        <v>87</v>
      </c>
      <c r="C37" s="17">
        <f>4407+1358.61</f>
        <v>5765.61</v>
      </c>
      <c r="D37" s="21" t="s">
        <v>9</v>
      </c>
    </row>
    <row r="38" spans="1:4" ht="15.75">
      <c r="A38" s="11"/>
      <c r="B38" s="22"/>
      <c r="D38" s="21"/>
    </row>
    <row r="39" spans="1:4" ht="15.75">
      <c r="A39" s="35"/>
      <c r="B39" s="44" t="s">
        <v>35</v>
      </c>
      <c r="C39" s="34">
        <f>C10-C12</f>
        <v>-14101.47</v>
      </c>
      <c r="D39" s="21" t="s">
        <v>9</v>
      </c>
    </row>
    <row r="40" spans="1:4" ht="15.75">
      <c r="A40" s="35"/>
      <c r="B40" s="35"/>
      <c r="C40" s="35" t="s">
        <v>41</v>
      </c>
      <c r="D40" s="21"/>
    </row>
    <row r="41" spans="1:4" ht="29.25" customHeight="1">
      <c r="A41" s="48" t="s">
        <v>136</v>
      </c>
      <c r="B41" s="48"/>
      <c r="C41" s="35">
        <v>73166.88</v>
      </c>
      <c r="D41" s="21" t="s">
        <v>9</v>
      </c>
    </row>
    <row r="42" spans="1:4" ht="15.75">
      <c r="A42" s="6"/>
      <c r="B42" s="6"/>
      <c r="C42" s="6"/>
      <c r="D42" s="6"/>
    </row>
    <row r="43" spans="1:4" ht="15.75">
      <c r="A43" s="6"/>
      <c r="B43" s="6"/>
      <c r="C43" s="6"/>
      <c r="D43" s="6"/>
    </row>
  </sheetData>
  <mergeCells count="7">
    <mergeCell ref="A6:C6"/>
    <mergeCell ref="A8:B8"/>
    <mergeCell ref="A41:B4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19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178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1117.8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11535.7*12</f>
        <v>138428.4</v>
      </c>
      <c r="D10" s="21" t="s">
        <v>9</v>
      </c>
    </row>
    <row r="11" spans="1:4" ht="15.75">
      <c r="A11" s="10"/>
      <c r="B11" s="13" t="s">
        <v>10</v>
      </c>
      <c r="C11" s="33">
        <v>89.77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128515.02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1788.48*12</f>
        <v>21461.76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290.63*12</f>
        <v>3487.56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8640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2000.86*12</f>
        <v>24010.32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1084.27*12</f>
        <v>13011.24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245.92*12</f>
        <v>2951.04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1699.06*12</f>
        <v>20388.72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SUM(C24:C35)</f>
        <v>26687.58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819.49</v>
      </c>
      <c r="D24" s="21" t="s">
        <v>9</v>
      </c>
    </row>
    <row r="25" spans="1:4" ht="15.75">
      <c r="A25" s="12"/>
      <c r="B25" s="18" t="s">
        <v>179</v>
      </c>
      <c r="C25" s="31">
        <v>3283</v>
      </c>
      <c r="D25" s="21" t="s">
        <v>9</v>
      </c>
    </row>
    <row r="26" spans="1:4" ht="15.75">
      <c r="A26" s="12"/>
      <c r="B26" s="19" t="s">
        <v>163</v>
      </c>
      <c r="C26" s="16">
        <v>2295</v>
      </c>
      <c r="D26" s="21" t="s">
        <v>9</v>
      </c>
    </row>
    <row r="27" spans="1:4" ht="15.75">
      <c r="A27" s="12"/>
      <c r="B27" s="19" t="s">
        <v>180</v>
      </c>
      <c r="C27" s="16">
        <f>1602+1831.2</f>
        <v>3433.2</v>
      </c>
      <c r="D27" s="21" t="s">
        <v>9</v>
      </c>
    </row>
    <row r="28" spans="1:4" ht="15.75">
      <c r="A28" s="11"/>
      <c r="B28" s="22" t="s">
        <v>118</v>
      </c>
      <c r="C28" s="23">
        <v>234</v>
      </c>
      <c r="D28" s="21" t="s">
        <v>9</v>
      </c>
    </row>
    <row r="29" spans="1:4" ht="15.75">
      <c r="A29" s="11"/>
      <c r="B29" s="22" t="s">
        <v>66</v>
      </c>
      <c r="C29" s="23">
        <v>1200</v>
      </c>
      <c r="D29" s="21" t="s">
        <v>9</v>
      </c>
    </row>
    <row r="30" spans="1:4" ht="15.75">
      <c r="A30" s="11"/>
      <c r="B30" s="22" t="s">
        <v>81</v>
      </c>
      <c r="C30" s="23">
        <v>389.39</v>
      </c>
      <c r="D30" s="21" t="s">
        <v>9</v>
      </c>
    </row>
    <row r="31" spans="1:4" ht="15.75">
      <c r="A31" s="11"/>
      <c r="B31" s="22" t="s">
        <v>61</v>
      </c>
      <c r="C31" s="23">
        <v>827.25</v>
      </c>
      <c r="D31" s="21" t="s">
        <v>9</v>
      </c>
    </row>
    <row r="32" spans="1:4" ht="15.75">
      <c r="A32" s="11"/>
      <c r="B32" s="22" t="s">
        <v>72</v>
      </c>
      <c r="C32" s="23">
        <v>2878.06</v>
      </c>
      <c r="D32" s="21" t="s">
        <v>9</v>
      </c>
    </row>
    <row r="33" spans="1:4" ht="15.75">
      <c r="A33" s="11"/>
      <c r="B33" s="22" t="s">
        <v>134</v>
      </c>
      <c r="C33" s="23">
        <v>6374.32</v>
      </c>
      <c r="D33" s="21" t="s">
        <v>9</v>
      </c>
    </row>
    <row r="34" spans="1:4" ht="17.25" customHeight="1">
      <c r="A34" s="11"/>
      <c r="B34" s="22" t="s">
        <v>135</v>
      </c>
      <c r="C34" s="17">
        <v>2252.37</v>
      </c>
      <c r="D34" s="21" t="s">
        <v>9</v>
      </c>
    </row>
    <row r="35" spans="1:4" ht="49.5" customHeight="1">
      <c r="A35" s="11"/>
      <c r="B35" s="19" t="s">
        <v>87</v>
      </c>
      <c r="C35" s="17">
        <v>2701.5</v>
      </c>
      <c r="D35" s="21" t="s">
        <v>9</v>
      </c>
    </row>
    <row r="36" spans="1:4" ht="15.75">
      <c r="A36" s="11"/>
      <c r="B36" s="22"/>
      <c r="D36" s="21"/>
    </row>
    <row r="37" spans="1:4" ht="15.75">
      <c r="A37" s="35"/>
      <c r="B37" s="44" t="s">
        <v>35</v>
      </c>
      <c r="C37" s="34">
        <f>C10-C12</f>
        <v>9913.38</v>
      </c>
      <c r="D37" s="21" t="s">
        <v>9</v>
      </c>
    </row>
    <row r="38" spans="1:4" ht="15.75">
      <c r="A38" s="35"/>
      <c r="B38" s="35"/>
      <c r="C38" s="35" t="s">
        <v>41</v>
      </c>
      <c r="D38" s="21"/>
    </row>
    <row r="39" spans="1:4" ht="31.5" customHeight="1">
      <c r="A39" s="48" t="s">
        <v>136</v>
      </c>
      <c r="B39" s="48"/>
      <c r="C39" s="35">
        <v>5254.19</v>
      </c>
      <c r="D39" s="21" t="s">
        <v>9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59.140625" style="0" customWidth="1"/>
    <col min="3" max="3" width="14.00390625" style="0" customWidth="1"/>
    <col min="4" max="4" width="8.281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181</v>
      </c>
      <c r="B6" s="49"/>
      <c r="C6" s="49"/>
      <c r="D6" s="41"/>
    </row>
    <row r="7" spans="1:4" ht="5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581.89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5353.39*12-3421.56</f>
        <v>60819.12</v>
      </c>
      <c r="D10" s="21" t="s">
        <v>9</v>
      </c>
    </row>
    <row r="11" spans="1:4" ht="15.75">
      <c r="A11" s="10"/>
      <c r="B11" s="13" t="s">
        <v>10</v>
      </c>
      <c r="C11" s="33">
        <v>77.08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65576.79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931.02*12</f>
        <v>11172.24</v>
      </c>
      <c r="D13" s="21" t="s">
        <v>9</v>
      </c>
    </row>
    <row r="14" spans="1:4" ht="21" customHeight="1">
      <c r="A14" s="12" t="s">
        <v>25</v>
      </c>
      <c r="B14" s="13" t="s">
        <v>14</v>
      </c>
      <c r="C14" s="14">
        <f>151.29*12</f>
        <v>1815.48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0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7876.8</v>
      </c>
      <c r="D16" s="21" t="s">
        <v>9</v>
      </c>
    </row>
    <row r="17" spans="1:4" ht="31.5">
      <c r="A17" s="38" t="s">
        <v>28</v>
      </c>
      <c r="B17" s="13" t="s">
        <v>16</v>
      </c>
      <c r="C17" s="14">
        <f>715.72*12</f>
        <v>8588.64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f>564.43*12</f>
        <v>6773.16</v>
      </c>
      <c r="D18" s="21" t="s">
        <v>9</v>
      </c>
    </row>
    <row r="19" spans="1:4" ht="31.5">
      <c r="A19" s="38" t="s">
        <v>30</v>
      </c>
      <c r="B19" s="13" t="s">
        <v>18</v>
      </c>
      <c r="C19" s="14">
        <f>128.02*12</f>
        <v>1536.24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884.47*12</f>
        <v>10613.64</v>
      </c>
      <c r="D21" s="21" t="s">
        <v>9</v>
      </c>
    </row>
    <row r="22" spans="1:4" ht="15.75">
      <c r="A22" s="12" t="s">
        <v>33</v>
      </c>
      <c r="B22" s="13" t="s">
        <v>20</v>
      </c>
      <c r="C22" s="30">
        <f>SUM(C24:C31)</f>
        <v>17200.59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8" t="s">
        <v>64</v>
      </c>
      <c r="C24" s="28">
        <v>812.03</v>
      </c>
      <c r="D24" s="21" t="s">
        <v>9</v>
      </c>
    </row>
    <row r="25" spans="1:4" ht="15.75">
      <c r="A25" s="12"/>
      <c r="B25" s="18" t="s">
        <v>147</v>
      </c>
      <c r="C25" s="31">
        <v>508</v>
      </c>
      <c r="D25" s="21" t="s">
        <v>9</v>
      </c>
    </row>
    <row r="26" spans="1:4" ht="15.75">
      <c r="A26" s="12"/>
      <c r="B26" s="19" t="s">
        <v>182</v>
      </c>
      <c r="C26" s="16">
        <v>5443.16</v>
      </c>
      <c r="D26" s="21" t="s">
        <v>9</v>
      </c>
    </row>
    <row r="27" spans="1:4" ht="15.75">
      <c r="A27" s="11"/>
      <c r="B27" s="22" t="s">
        <v>81</v>
      </c>
      <c r="C27" s="23">
        <v>194.69</v>
      </c>
      <c r="D27" s="21" t="s">
        <v>9</v>
      </c>
    </row>
    <row r="28" spans="1:4" ht="15.75">
      <c r="A28" s="11"/>
      <c r="B28" s="22" t="s">
        <v>61</v>
      </c>
      <c r="C28" s="23">
        <v>1654.5</v>
      </c>
      <c r="D28" s="21" t="s">
        <v>9</v>
      </c>
    </row>
    <row r="29" spans="1:4" ht="15.75">
      <c r="A29" s="11"/>
      <c r="B29" s="22" t="s">
        <v>134</v>
      </c>
      <c r="C29" s="23">
        <v>5345.28</v>
      </c>
      <c r="D29" s="21" t="s">
        <v>9</v>
      </c>
    </row>
    <row r="30" spans="1:4" ht="15.75">
      <c r="A30" s="11"/>
      <c r="B30" s="22" t="s">
        <v>135</v>
      </c>
      <c r="C30" s="17">
        <v>971.62</v>
      </c>
      <c r="D30" s="21" t="s">
        <v>9</v>
      </c>
    </row>
    <row r="31" spans="1:4" ht="63">
      <c r="A31" s="11"/>
      <c r="B31" s="19" t="s">
        <v>87</v>
      </c>
      <c r="C31" s="17">
        <v>2271.31</v>
      </c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-4757.67</v>
      </c>
      <c r="D35" s="21" t="s">
        <v>9</v>
      </c>
    </row>
    <row r="36" spans="1:4" ht="15.75">
      <c r="A36" s="35"/>
      <c r="B36" s="35"/>
      <c r="C36" s="35" t="s">
        <v>41</v>
      </c>
      <c r="D36" s="21"/>
    </row>
    <row r="37" spans="1:4" ht="15.75">
      <c r="A37" s="48" t="s">
        <v>136</v>
      </c>
      <c r="B37" s="48"/>
      <c r="C37" s="35">
        <v>32500.83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14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183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782.1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8071.27*12-4598.76</f>
        <v>92256.48</v>
      </c>
      <c r="D10" s="21" t="s">
        <v>9</v>
      </c>
    </row>
    <row r="11" spans="1:4" ht="15.75">
      <c r="A11" s="10"/>
      <c r="B11" s="13" t="s">
        <v>10</v>
      </c>
      <c r="C11" s="33">
        <v>75.18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84435.18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1251.36*12</f>
        <v>15016.32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203.35*12</f>
        <v>2440.2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f>0</f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1399.96*12</f>
        <v>16799.52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758.64*12</f>
        <v>9103.68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172.06*12</f>
        <v>2064.72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1188.79*12</f>
        <v>14265.48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SUM(C24:C30)</f>
        <v>16868.46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838.37</v>
      </c>
      <c r="D24" s="21" t="s">
        <v>9</v>
      </c>
    </row>
    <row r="25" spans="1:4" ht="15.75">
      <c r="A25" s="12"/>
      <c r="B25" s="19" t="s">
        <v>89</v>
      </c>
      <c r="C25" s="16">
        <v>6946</v>
      </c>
      <c r="D25" s="21" t="s">
        <v>9</v>
      </c>
    </row>
    <row r="26" spans="1:4" ht="15.75">
      <c r="A26" s="11"/>
      <c r="B26" s="22" t="s">
        <v>184</v>
      </c>
      <c r="C26" s="23">
        <v>166</v>
      </c>
      <c r="D26" s="21" t="s">
        <v>9</v>
      </c>
    </row>
    <row r="27" spans="1:4" ht="15.75">
      <c r="A27" s="11"/>
      <c r="B27" s="22" t="s">
        <v>81</v>
      </c>
      <c r="C27" s="23">
        <v>194.69</v>
      </c>
      <c r="D27" s="21" t="s">
        <v>9</v>
      </c>
    </row>
    <row r="28" spans="1:4" ht="15.75">
      <c r="A28" s="11"/>
      <c r="B28" s="22" t="s">
        <v>134</v>
      </c>
      <c r="C28" s="23">
        <v>5974.14</v>
      </c>
      <c r="D28" s="21" t="s">
        <v>9</v>
      </c>
    </row>
    <row r="29" spans="1:4" ht="15.75">
      <c r="A29" s="11"/>
      <c r="B29" s="22" t="s">
        <v>135</v>
      </c>
      <c r="C29" s="17">
        <v>1457.42</v>
      </c>
      <c r="D29" s="21" t="s">
        <v>9</v>
      </c>
    </row>
    <row r="30" spans="1:4" ht="47.25" customHeight="1">
      <c r="A30" s="11"/>
      <c r="B30" s="19" t="s">
        <v>87</v>
      </c>
      <c r="C30" s="17">
        <f>779.84+512</f>
        <v>1291.84</v>
      </c>
      <c r="D30" s="21" t="s">
        <v>9</v>
      </c>
    </row>
    <row r="31" spans="1:4" ht="15.75">
      <c r="A31" s="11"/>
      <c r="B31" s="22"/>
      <c r="D31" s="21"/>
    </row>
    <row r="32" spans="1:4" ht="15.75">
      <c r="A32" s="11"/>
      <c r="B32" s="22"/>
      <c r="C32" s="17"/>
      <c r="D32" s="21"/>
    </row>
    <row r="33" spans="1:4" ht="15.75">
      <c r="A33" s="6"/>
      <c r="B33" s="7"/>
      <c r="C33" s="7"/>
      <c r="D33" s="21"/>
    </row>
    <row r="34" spans="1:4" ht="15.75">
      <c r="A34" s="35"/>
      <c r="B34" s="44" t="s">
        <v>35</v>
      </c>
      <c r="C34" s="34">
        <f>C10-C12</f>
        <v>7821.3</v>
      </c>
      <c r="D34" s="21" t="s">
        <v>9</v>
      </c>
    </row>
    <row r="35" spans="1:4" ht="15.75">
      <c r="A35" s="35"/>
      <c r="B35" s="35"/>
      <c r="C35" s="35" t="s">
        <v>41</v>
      </c>
      <c r="D35" s="21"/>
    </row>
    <row r="36" spans="1:4" ht="32.25" customHeight="1">
      <c r="A36" s="48" t="s">
        <v>136</v>
      </c>
      <c r="B36" s="48"/>
      <c r="C36" s="35">
        <v>63393.53</v>
      </c>
      <c r="D36" s="21" t="s">
        <v>9</v>
      </c>
    </row>
    <row r="37" spans="1:4" ht="15.75">
      <c r="A37" s="6"/>
      <c r="B37" s="6"/>
      <c r="C37" s="6"/>
      <c r="D37" s="6"/>
    </row>
    <row r="38" spans="1:4" ht="15.75">
      <c r="A38" s="6"/>
      <c r="B38" s="6"/>
      <c r="C38" s="6"/>
      <c r="D38" s="6"/>
    </row>
  </sheetData>
  <mergeCells count="7">
    <mergeCell ref="A6:C6"/>
    <mergeCell ref="A8:B8"/>
    <mergeCell ref="A36:B3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7">
      <selection activeCell="E7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185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506.7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4661.64*12-2979.36</f>
        <v>52960.32</v>
      </c>
      <c r="D10" s="21" t="s">
        <v>9</v>
      </c>
    </row>
    <row r="11" spans="1:4" ht="15.75">
      <c r="A11" s="10"/>
      <c r="B11" s="13" t="s">
        <v>10</v>
      </c>
      <c r="C11" s="33">
        <v>76.71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74451.48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810.72*12</f>
        <v>9728.64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131.74*12</f>
        <v>1580.88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623.24*12</f>
        <v>7478.88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491.5*12</f>
        <v>5898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111.47*12</f>
        <v>1337.64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770.18*12</f>
        <v>9242.16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31308.48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683.32</v>
      </c>
      <c r="D24" s="21" t="s">
        <v>9</v>
      </c>
    </row>
    <row r="25" spans="1:4" ht="15.75">
      <c r="A25" s="12"/>
      <c r="B25" s="19" t="s">
        <v>186</v>
      </c>
      <c r="C25" s="16">
        <f>10073.1+4029.24+436</f>
        <v>14538.34</v>
      </c>
      <c r="D25" s="21" t="s">
        <v>9</v>
      </c>
    </row>
    <row r="26" spans="1:4" ht="15.75">
      <c r="A26" s="11"/>
      <c r="B26" s="22" t="s">
        <v>92</v>
      </c>
      <c r="C26" s="23">
        <f>6131.3+1351.8+1351.8</f>
        <v>8834.9</v>
      </c>
      <c r="D26" s="21" t="s">
        <v>9</v>
      </c>
    </row>
    <row r="27" spans="1:4" ht="15.75">
      <c r="A27" s="11"/>
      <c r="B27" s="22" t="s">
        <v>134</v>
      </c>
      <c r="C27" s="23">
        <v>4330.58</v>
      </c>
      <c r="D27" s="21" t="s">
        <v>9</v>
      </c>
    </row>
    <row r="28" spans="1:4" ht="15.75">
      <c r="A28" s="11"/>
      <c r="B28" s="22" t="s">
        <v>135</v>
      </c>
      <c r="C28" s="17">
        <v>971.62</v>
      </c>
      <c r="D28" s="21" t="s">
        <v>9</v>
      </c>
    </row>
    <row r="29" spans="1:4" ht="48.75" customHeight="1">
      <c r="A29" s="11"/>
      <c r="B29" s="19" t="s">
        <v>87</v>
      </c>
      <c r="C29" s="17">
        <v>1949.72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-21491.16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4.5" customHeight="1">
      <c r="A35" s="48" t="s">
        <v>136</v>
      </c>
      <c r="B35" s="48"/>
      <c r="C35" s="35">
        <v>35486.55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6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187</v>
      </c>
      <c r="B6" s="49"/>
      <c r="C6" s="49"/>
      <c r="D6" s="41"/>
    </row>
    <row r="7" spans="1:4" ht="10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276.7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2545.64*12-1626.96</f>
        <v>28920.72</v>
      </c>
      <c r="D10" s="21" t="s">
        <v>9</v>
      </c>
    </row>
    <row r="11" spans="1:4" ht="15.75">
      <c r="A11" s="10"/>
      <c r="B11" s="13" t="s">
        <v>10</v>
      </c>
      <c r="C11" s="33">
        <v>83.19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39208.24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442.72*12</f>
        <v>5312.64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71.94*12</f>
        <v>863.28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340.34*12</f>
        <v>4084.08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268.4*12</f>
        <v>3220.8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60.87*12</f>
        <v>730.44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420.58*12</f>
        <v>5046.96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SUM(C24:C32)</f>
        <v>12073.24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719.1</v>
      </c>
      <c r="D24" s="21" t="s">
        <v>9</v>
      </c>
    </row>
    <row r="25" spans="1:4" ht="15.75">
      <c r="A25" s="11"/>
      <c r="B25" s="22" t="s">
        <v>82</v>
      </c>
      <c r="C25" s="23">
        <v>526</v>
      </c>
      <c r="D25" s="21" t="s">
        <v>9</v>
      </c>
    </row>
    <row r="26" spans="1:4" ht="15.75">
      <c r="A26" s="11"/>
      <c r="B26" s="22" t="s">
        <v>286</v>
      </c>
      <c r="C26" s="23">
        <v>265</v>
      </c>
      <c r="D26" s="21" t="s">
        <v>9</v>
      </c>
    </row>
    <row r="27" spans="1:4" ht="15.75">
      <c r="A27" s="11"/>
      <c r="B27" s="19" t="s">
        <v>48</v>
      </c>
      <c r="C27" s="23">
        <v>1596</v>
      </c>
      <c r="D27" s="21" t="s">
        <v>9</v>
      </c>
    </row>
    <row r="28" spans="1:4" ht="15.75">
      <c r="A28" s="11"/>
      <c r="B28" s="22" t="s">
        <v>91</v>
      </c>
      <c r="C28" s="23">
        <v>406.17</v>
      </c>
      <c r="D28" s="21" t="s">
        <v>9</v>
      </c>
    </row>
    <row r="29" spans="1:4" ht="15.75">
      <c r="A29" s="11"/>
      <c r="B29" s="22" t="s">
        <v>134</v>
      </c>
      <c r="C29" s="23">
        <v>3858.89</v>
      </c>
      <c r="D29" s="21" t="s">
        <v>9</v>
      </c>
    </row>
    <row r="30" spans="1:4" ht="15.75">
      <c r="A30" s="11"/>
      <c r="B30" s="22" t="s">
        <v>135</v>
      </c>
      <c r="C30" s="17">
        <v>485.8</v>
      </c>
      <c r="D30" s="21" t="s">
        <v>9</v>
      </c>
    </row>
    <row r="31" spans="1:4" ht="15.75">
      <c r="A31" s="11"/>
      <c r="B31" s="22" t="s">
        <v>75</v>
      </c>
      <c r="C31" s="17">
        <v>366.28</v>
      </c>
      <c r="D31" s="21" t="s">
        <v>9</v>
      </c>
    </row>
    <row r="32" spans="1:4" ht="63">
      <c r="A32" s="11"/>
      <c r="B32" s="19" t="s">
        <v>87</v>
      </c>
      <c r="C32" s="17">
        <v>3850</v>
      </c>
      <c r="D32" s="21" t="s">
        <v>9</v>
      </c>
    </row>
    <row r="33" spans="1:4" ht="15.75">
      <c r="A33" s="11"/>
      <c r="B33" s="22"/>
      <c r="D33" s="21"/>
    </row>
    <row r="34" spans="1:4" ht="15.75">
      <c r="A34" s="11"/>
      <c r="B34" s="22"/>
      <c r="C34" s="17"/>
      <c r="D34" s="21"/>
    </row>
    <row r="35" spans="1:4" ht="15.75">
      <c r="A35" s="6"/>
      <c r="B35" s="7"/>
      <c r="C35" s="7"/>
      <c r="D35" s="21"/>
    </row>
    <row r="36" spans="1:4" ht="15.75">
      <c r="A36" s="35"/>
      <c r="B36" s="44" t="s">
        <v>35</v>
      </c>
      <c r="C36" s="34">
        <f>C10-C12</f>
        <v>-10287.52</v>
      </c>
      <c r="D36" s="21" t="s">
        <v>9</v>
      </c>
    </row>
    <row r="37" spans="1:4" ht="15.75">
      <c r="A37" s="35"/>
      <c r="B37" s="35"/>
      <c r="C37" s="35" t="s">
        <v>41</v>
      </c>
      <c r="D37" s="21"/>
    </row>
    <row r="38" spans="1:4" ht="32.25" customHeight="1">
      <c r="A38" s="48" t="s">
        <v>136</v>
      </c>
      <c r="B38" s="48"/>
      <c r="C38" s="35">
        <v>11903.49</v>
      </c>
      <c r="D38" s="21" t="s">
        <v>9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7.281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.75" customHeight="1">
      <c r="A5" s="6"/>
      <c r="B5" s="6"/>
      <c r="C5" s="6"/>
      <c r="D5" s="6"/>
    </row>
    <row r="6" spans="1:4" ht="18.75">
      <c r="A6" s="49" t="s">
        <v>188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538.9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4957.88*12-3168.72</f>
        <v>56325.84</v>
      </c>
      <c r="D10" s="21" t="s">
        <v>9</v>
      </c>
    </row>
    <row r="11" spans="1:4" ht="15.75">
      <c r="A11" s="10"/>
      <c r="B11" s="13" t="s">
        <v>10</v>
      </c>
      <c r="C11" s="33">
        <v>63.15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55287.6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862.24*12</f>
        <v>10346.88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140.11*12</f>
        <v>1681.32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662.85*12</f>
        <v>7954.2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522.73*12</f>
        <v>6272.76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118.56*12</f>
        <v>1422.72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819.13*12</f>
        <v>9829.56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9903.36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1076.41</v>
      </c>
      <c r="D24" s="21" t="s">
        <v>9</v>
      </c>
    </row>
    <row r="25" spans="1:4" ht="15.75">
      <c r="A25" s="12"/>
      <c r="B25" s="18" t="s">
        <v>189</v>
      </c>
      <c r="C25" s="31">
        <v>3068</v>
      </c>
      <c r="D25" s="21" t="s">
        <v>9</v>
      </c>
    </row>
    <row r="26" spans="1:4" ht="15.75">
      <c r="A26" s="11"/>
      <c r="B26" s="22" t="s">
        <v>74</v>
      </c>
      <c r="C26" s="23">
        <v>348.86</v>
      </c>
      <c r="D26" s="21" t="s">
        <v>9</v>
      </c>
    </row>
    <row r="27" spans="1:4" ht="15.75">
      <c r="A27" s="11"/>
      <c r="B27" s="22" t="s">
        <v>134</v>
      </c>
      <c r="C27" s="23">
        <v>4382.94</v>
      </c>
      <c r="D27" s="21" t="s">
        <v>9</v>
      </c>
    </row>
    <row r="28" spans="1:4" ht="15.75">
      <c r="A28" s="11"/>
      <c r="B28" s="22" t="s">
        <v>135</v>
      </c>
      <c r="C28" s="17">
        <v>971.62</v>
      </c>
      <c r="D28" s="21" t="s">
        <v>9</v>
      </c>
    </row>
    <row r="29" spans="1:4" ht="50.25" customHeight="1">
      <c r="A29" s="11"/>
      <c r="B29" s="19" t="s">
        <v>87</v>
      </c>
      <c r="C29" s="17">
        <v>55.53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1038.24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1.5" customHeight="1">
      <c r="A35" s="48" t="s">
        <v>136</v>
      </c>
      <c r="B35" s="48"/>
      <c r="C35" s="35">
        <v>37353.83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.75" customHeight="1">
      <c r="A5" s="6"/>
      <c r="B5" s="6"/>
      <c r="C5" s="6"/>
      <c r="D5" s="6"/>
    </row>
    <row r="6" spans="1:4" ht="18.75">
      <c r="A6" s="49" t="s">
        <v>190</v>
      </c>
      <c r="B6" s="49"/>
      <c r="C6" s="49"/>
      <c r="D6" s="41"/>
    </row>
    <row r="7" spans="1:4" ht="6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1112.3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11478.94*12</f>
        <v>137747.28</v>
      </c>
      <c r="D10" s="21" t="s">
        <v>9</v>
      </c>
    </row>
    <row r="11" spans="1:4" ht="15.75">
      <c r="A11" s="10"/>
      <c r="B11" s="13" t="s">
        <v>10</v>
      </c>
      <c r="C11" s="33">
        <v>83.6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133817.52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1779.68*12</f>
        <v>21356.16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289.2*12</f>
        <v>3470.4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4500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18144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1991.02*12</f>
        <v>23892.24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1078.93*12</f>
        <v>12947.16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244.71*12</f>
        <v>2936.52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1690.7*12</f>
        <v>20288.4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SUM(C24:C31)</f>
        <v>26282.64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191</v>
      </c>
      <c r="C24" s="28">
        <v>10974</v>
      </c>
      <c r="D24" s="21" t="s">
        <v>9</v>
      </c>
    </row>
    <row r="25" spans="1:4" ht="15.75">
      <c r="A25" s="11"/>
      <c r="B25" s="22" t="s">
        <v>66</v>
      </c>
      <c r="C25" s="23">
        <v>2200</v>
      </c>
      <c r="D25" s="21" t="s">
        <v>9</v>
      </c>
    </row>
    <row r="26" spans="1:4" ht="15.75">
      <c r="A26" s="11"/>
      <c r="B26" s="22" t="s">
        <v>61</v>
      </c>
      <c r="C26" s="23">
        <v>827.25</v>
      </c>
      <c r="D26" s="21" t="s">
        <v>9</v>
      </c>
    </row>
    <row r="27" spans="1:4" ht="15.75">
      <c r="A27" s="11"/>
      <c r="B27" s="22" t="s">
        <v>91</v>
      </c>
      <c r="C27" s="23">
        <f>116.96+2398</f>
        <v>2514.96</v>
      </c>
      <c r="D27" s="21" t="s">
        <v>9</v>
      </c>
    </row>
    <row r="28" spans="1:4" ht="15.75">
      <c r="A28" s="11"/>
      <c r="B28" s="22" t="s">
        <v>134</v>
      </c>
      <c r="C28" s="23">
        <v>7142.29</v>
      </c>
      <c r="D28" s="21" t="s">
        <v>9</v>
      </c>
    </row>
    <row r="29" spans="1:4" ht="15.75">
      <c r="A29" s="11"/>
      <c r="B29" s="22" t="s">
        <v>135</v>
      </c>
      <c r="C29" s="17">
        <v>1899.06</v>
      </c>
      <c r="D29" s="21" t="s">
        <v>9</v>
      </c>
    </row>
    <row r="30" spans="1:4" ht="15.75">
      <c r="A30" s="11"/>
      <c r="B30" s="22" t="s">
        <v>75</v>
      </c>
      <c r="C30" s="17">
        <v>183.14</v>
      </c>
      <c r="D30" s="21" t="s">
        <v>9</v>
      </c>
    </row>
    <row r="31" spans="1:4" ht="48" customHeight="1">
      <c r="A31" s="11"/>
      <c r="B31" s="19" t="s">
        <v>87</v>
      </c>
      <c r="C31" s="17">
        <v>541.94</v>
      </c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3929.76</v>
      </c>
      <c r="D35" s="21" t="s">
        <v>9</v>
      </c>
    </row>
    <row r="36" spans="1:4" ht="15.75">
      <c r="A36" s="35"/>
      <c r="B36" s="35"/>
      <c r="C36" s="35" t="s">
        <v>41</v>
      </c>
      <c r="D36" s="21"/>
    </row>
    <row r="37" spans="1:4" ht="32.25" customHeight="1">
      <c r="A37" s="48" t="s">
        <v>136</v>
      </c>
      <c r="B37" s="48"/>
      <c r="C37" s="35">
        <v>48942.82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1.421875" style="0" customWidth="1"/>
    <col min="3" max="3" width="13.57421875" style="0" customWidth="1"/>
    <col min="4" max="4" width="8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5.25" customHeight="1">
      <c r="A5" s="6"/>
      <c r="B5" s="6"/>
      <c r="C5" s="6"/>
      <c r="D5" s="6"/>
    </row>
    <row r="6" spans="1:4" ht="18.75">
      <c r="A6" s="49" t="s">
        <v>192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4103.13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42344.3*12</f>
        <v>508131.6</v>
      </c>
      <c r="D10" s="21" t="s">
        <v>9</v>
      </c>
    </row>
    <row r="11" spans="1:4" ht="15.75">
      <c r="A11" s="10"/>
      <c r="B11" s="13" t="s">
        <v>10</v>
      </c>
      <c r="C11" s="33">
        <v>89.29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610968.8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6565.01*12</f>
        <v>78780.12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1066.81*12</f>
        <v>12801.72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21600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31982.24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7344.6*12</f>
        <v>88135.2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3980.04*12</f>
        <v>47760.48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902.69*12</f>
        <v>10832.28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6236.76*12</f>
        <v>74841.12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SUM(C24:C40)</f>
        <v>244235.64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3839.92</v>
      </c>
      <c r="D24" s="21" t="s">
        <v>9</v>
      </c>
    </row>
    <row r="25" spans="1:4" ht="15.75">
      <c r="A25" s="12"/>
      <c r="B25" s="18" t="s">
        <v>78</v>
      </c>
      <c r="C25" s="28">
        <v>146564.76</v>
      </c>
      <c r="D25" s="21" t="s">
        <v>9</v>
      </c>
    </row>
    <row r="26" spans="1:4" ht="15.75">
      <c r="A26" s="12"/>
      <c r="B26" s="19" t="s">
        <v>189</v>
      </c>
      <c r="C26" s="16">
        <f>2721.58+3291.8</f>
        <v>6013.38</v>
      </c>
      <c r="D26" s="21" t="s">
        <v>9</v>
      </c>
    </row>
    <row r="27" spans="1:4" ht="15.75">
      <c r="A27" s="12"/>
      <c r="B27" s="19" t="s">
        <v>85</v>
      </c>
      <c r="C27" s="16">
        <v>8536</v>
      </c>
      <c r="D27" s="21" t="s">
        <v>9</v>
      </c>
    </row>
    <row r="28" spans="1:4" ht="15.75">
      <c r="A28" s="11"/>
      <c r="B28" s="22" t="s">
        <v>193</v>
      </c>
      <c r="C28" s="23">
        <v>541</v>
      </c>
      <c r="D28" s="21" t="s">
        <v>9</v>
      </c>
    </row>
    <row r="29" spans="1:4" ht="15.75">
      <c r="A29" s="11"/>
      <c r="B29" s="22" t="s">
        <v>43</v>
      </c>
      <c r="C29" s="23">
        <v>2311.17</v>
      </c>
      <c r="D29" s="21" t="s">
        <v>9</v>
      </c>
    </row>
    <row r="30" spans="1:4" ht="15.75">
      <c r="A30" s="11"/>
      <c r="B30" s="22" t="s">
        <v>194</v>
      </c>
      <c r="C30" s="23">
        <f>185.33+185.33+2445</f>
        <v>2815.66</v>
      </c>
      <c r="D30" s="21" t="s">
        <v>9</v>
      </c>
    </row>
    <row r="31" spans="1:4" ht="15.75">
      <c r="A31" s="11"/>
      <c r="B31" s="22" t="s">
        <v>82</v>
      </c>
      <c r="C31" s="23">
        <v>526</v>
      </c>
      <c r="D31" s="21" t="s">
        <v>9</v>
      </c>
    </row>
    <row r="32" spans="1:4" ht="15.75">
      <c r="A32" s="11"/>
      <c r="B32" s="22" t="s">
        <v>195</v>
      </c>
      <c r="C32" s="23">
        <v>3488.56</v>
      </c>
      <c r="D32" s="21" t="s">
        <v>9</v>
      </c>
    </row>
    <row r="33" spans="1:4" ht="15.75">
      <c r="A33" s="11"/>
      <c r="B33" s="22" t="s">
        <v>61</v>
      </c>
      <c r="C33" s="23">
        <v>3714.16</v>
      </c>
      <c r="D33" s="21" t="s">
        <v>9</v>
      </c>
    </row>
    <row r="34" spans="1:4" ht="15.75">
      <c r="A34" s="11"/>
      <c r="B34" s="22" t="s">
        <v>72</v>
      </c>
      <c r="C34" s="23">
        <v>2878.06</v>
      </c>
      <c r="D34" s="21" t="s">
        <v>9</v>
      </c>
    </row>
    <row r="35" spans="1:4" ht="15.75">
      <c r="A35" s="11"/>
      <c r="B35" s="22" t="s">
        <v>74</v>
      </c>
      <c r="C35" s="23">
        <f>10989.09+348.86</f>
        <v>11337.95</v>
      </c>
      <c r="D35" s="21" t="s">
        <v>9</v>
      </c>
    </row>
    <row r="36" spans="1:4" ht="15.75">
      <c r="A36" s="11"/>
      <c r="B36" s="22" t="s">
        <v>91</v>
      </c>
      <c r="C36" s="23">
        <v>812.34</v>
      </c>
      <c r="D36" s="21" t="s">
        <v>9</v>
      </c>
    </row>
    <row r="37" spans="1:4" ht="15.75">
      <c r="A37" s="11"/>
      <c r="B37" s="22" t="s">
        <v>134</v>
      </c>
      <c r="C37" s="23">
        <v>28771.15</v>
      </c>
      <c r="D37" s="21" t="s">
        <v>9</v>
      </c>
    </row>
    <row r="38" spans="1:4" ht="15.75">
      <c r="A38" s="11"/>
      <c r="B38" s="22" t="s">
        <v>135</v>
      </c>
      <c r="C38" s="17">
        <v>7154.59</v>
      </c>
      <c r="D38" s="21" t="s">
        <v>9</v>
      </c>
    </row>
    <row r="39" spans="1:4" ht="15.75">
      <c r="A39" s="11"/>
      <c r="B39" s="22" t="s">
        <v>75</v>
      </c>
      <c r="C39" s="17">
        <v>183.14</v>
      </c>
      <c r="D39" s="21" t="s">
        <v>9</v>
      </c>
    </row>
    <row r="40" spans="1:4" ht="48" customHeight="1">
      <c r="A40" s="11"/>
      <c r="B40" s="19" t="s">
        <v>87</v>
      </c>
      <c r="C40" s="17">
        <f>4404.8+10343</f>
        <v>14747.8</v>
      </c>
      <c r="D40" s="21" t="s">
        <v>9</v>
      </c>
    </row>
    <row r="41" spans="1:4" ht="15.75">
      <c r="A41" s="11"/>
      <c r="B41" s="22"/>
      <c r="D41" s="21"/>
    </row>
    <row r="42" spans="1:4" ht="15.75">
      <c r="A42" s="6"/>
      <c r="B42" s="7"/>
      <c r="C42" s="7"/>
      <c r="D42" s="21"/>
    </row>
    <row r="43" spans="1:4" ht="15.75">
      <c r="A43" s="35"/>
      <c r="B43" s="44" t="s">
        <v>35</v>
      </c>
      <c r="C43" s="34">
        <f>C10-C12</f>
        <v>-102837.2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0.75" customHeight="1">
      <c r="A45" s="48" t="s">
        <v>136</v>
      </c>
      <c r="B45" s="48"/>
      <c r="C45" s="35">
        <v>60947.88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D12" sqref="D12"/>
    </sheetView>
  </sheetViews>
  <sheetFormatPr defaultColWidth="9.140625" defaultRowHeight="12.75"/>
  <cols>
    <col min="1" max="1" width="7.57421875" style="0" customWidth="1"/>
    <col min="2" max="2" width="58.7109375" style="0" customWidth="1"/>
    <col min="3" max="3" width="15.710937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45</v>
      </c>
      <c r="B6" s="49"/>
      <c r="C6" s="49"/>
    </row>
    <row r="7" spans="1:3" ht="15.75">
      <c r="A7" s="6"/>
      <c r="B7" s="6"/>
      <c r="C7" s="6"/>
    </row>
    <row r="8" spans="1:4" ht="15.75">
      <c r="A8" s="51" t="s">
        <v>6</v>
      </c>
      <c r="B8" s="51"/>
      <c r="C8" s="32">
        <v>805.8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v>84881.24</v>
      </c>
      <c r="D10" s="21" t="s">
        <v>9</v>
      </c>
    </row>
    <row r="11" spans="1:4" ht="15.75">
      <c r="A11" s="10"/>
      <c r="B11" s="13" t="s">
        <v>10</v>
      </c>
      <c r="C11" s="33">
        <v>82.27</v>
      </c>
      <c r="D11" s="21" t="s">
        <v>11</v>
      </c>
    </row>
    <row r="12" spans="1:4" ht="15.75">
      <c r="A12" s="10">
        <v>2</v>
      </c>
      <c r="B12" s="32" t="s">
        <v>137</v>
      </c>
      <c r="C12" s="33">
        <f>SUM(C13:C22)</f>
        <v>90540.38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1289.28*12</f>
        <v>15471.36</v>
      </c>
      <c r="D13" s="21" t="s">
        <v>9</v>
      </c>
    </row>
    <row r="14" spans="1:4" ht="20.25" customHeight="1">
      <c r="A14" s="12" t="s">
        <v>25</v>
      </c>
      <c r="B14" s="13" t="s">
        <v>14</v>
      </c>
      <c r="C14" s="14">
        <f>209.51*12</f>
        <v>2514.12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659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8073.72</v>
      </c>
      <c r="D16" s="21" t="s">
        <v>9</v>
      </c>
    </row>
    <row r="17" spans="1:4" ht="31.5">
      <c r="A17" s="12" t="s">
        <v>28</v>
      </c>
      <c r="B17" s="13" t="s">
        <v>16</v>
      </c>
      <c r="C17" s="14">
        <v>16921.8</v>
      </c>
      <c r="D17" s="21" t="s">
        <v>9</v>
      </c>
    </row>
    <row r="18" spans="1:4" ht="15.75">
      <c r="A18" s="12" t="s">
        <v>29</v>
      </c>
      <c r="B18" s="13" t="s">
        <v>17</v>
      </c>
      <c r="C18" s="14">
        <f>781.63*12</f>
        <v>9379.56</v>
      </c>
      <c r="D18" s="21" t="s">
        <v>9</v>
      </c>
    </row>
    <row r="19" spans="1:4" ht="31.5">
      <c r="A19" s="12" t="s">
        <v>30</v>
      </c>
      <c r="B19" s="13" t="s">
        <v>18</v>
      </c>
      <c r="C19" s="14">
        <f>177.28*12</f>
        <v>2127.36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1224.82*12</f>
        <v>14697.84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C24+C25+C26+C27+C28+C29+C31+C30</f>
        <v>20695.62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9" t="s">
        <v>46</v>
      </c>
      <c r="C24" s="16">
        <v>3488.56</v>
      </c>
      <c r="D24" s="21" t="s">
        <v>9</v>
      </c>
    </row>
    <row r="25" spans="1:4" ht="15.75">
      <c r="A25" s="12"/>
      <c r="B25" s="19" t="s">
        <v>47</v>
      </c>
      <c r="C25" s="16">
        <v>2158.55</v>
      </c>
      <c r="D25" s="21" t="s">
        <v>9</v>
      </c>
    </row>
    <row r="26" spans="1:4" ht="15.75">
      <c r="A26" s="12"/>
      <c r="B26" s="19" t="s">
        <v>48</v>
      </c>
      <c r="C26" s="16">
        <f>2394+467.84</f>
        <v>2861.84</v>
      </c>
      <c r="D26" s="21" t="s">
        <v>9</v>
      </c>
    </row>
    <row r="27" spans="1:4" ht="15.75">
      <c r="A27" s="11"/>
      <c r="B27" s="22" t="s">
        <v>43</v>
      </c>
      <c r="C27" s="17">
        <v>2747.17</v>
      </c>
      <c r="D27" s="21" t="s">
        <v>9</v>
      </c>
    </row>
    <row r="28" spans="1:4" ht="15.75">
      <c r="A28" s="11"/>
      <c r="B28" s="22" t="s">
        <v>40</v>
      </c>
      <c r="C28" s="17">
        <v>776</v>
      </c>
      <c r="D28" s="21" t="s">
        <v>9</v>
      </c>
    </row>
    <row r="29" spans="1:4" ht="45" customHeight="1">
      <c r="A29" s="11"/>
      <c r="B29" s="19" t="s">
        <v>87</v>
      </c>
      <c r="C29" s="17">
        <v>1213.8</v>
      </c>
      <c r="D29" s="21" t="s">
        <v>9</v>
      </c>
    </row>
    <row r="30" spans="1:4" ht="18.75" customHeight="1">
      <c r="A30" s="11"/>
      <c r="B30" s="22" t="s">
        <v>134</v>
      </c>
      <c r="C30" s="23">
        <v>5859.8</v>
      </c>
      <c r="D30" s="21" t="s">
        <v>9</v>
      </c>
    </row>
    <row r="31" spans="1:4" ht="20.25" customHeight="1">
      <c r="A31" s="11"/>
      <c r="B31" s="22" t="s">
        <v>135</v>
      </c>
      <c r="C31" s="17">
        <v>1589.9</v>
      </c>
      <c r="D31" s="21" t="s">
        <v>9</v>
      </c>
    </row>
    <row r="32" spans="1:4" ht="15.75">
      <c r="A32" s="11"/>
      <c r="B32" s="22"/>
      <c r="C32" s="23"/>
      <c r="D32" s="21"/>
    </row>
    <row r="33" spans="1:4" ht="15.75">
      <c r="A33" s="6"/>
      <c r="B33" s="44" t="s">
        <v>35</v>
      </c>
      <c r="C33" s="34">
        <f>C10-C12</f>
        <v>-5659.14</v>
      </c>
      <c r="D33" s="21" t="s">
        <v>9</v>
      </c>
    </row>
    <row r="34" spans="1:4" ht="15.75">
      <c r="A34" s="6"/>
      <c r="B34" s="6"/>
      <c r="C34" s="6" t="s">
        <v>41</v>
      </c>
      <c r="D34" s="21"/>
    </row>
    <row r="35" spans="1:4" ht="35.25" customHeight="1">
      <c r="A35" s="48" t="s">
        <v>136</v>
      </c>
      <c r="B35" s="48"/>
      <c r="C35" s="35">
        <v>37710.02</v>
      </c>
      <c r="D35" s="21" t="s">
        <v>9</v>
      </c>
    </row>
    <row r="36" spans="1:3" ht="15.75">
      <c r="A36" s="6"/>
      <c r="B36" s="6"/>
      <c r="C36" s="6"/>
    </row>
    <row r="37" spans="1:3" ht="15.75">
      <c r="A37" s="6"/>
      <c r="B37" s="6"/>
      <c r="C37" s="6"/>
    </row>
  </sheetData>
  <mergeCells count="7">
    <mergeCell ref="A6:C6"/>
    <mergeCell ref="A35:B35"/>
    <mergeCell ref="A1:C1"/>
    <mergeCell ref="A2:C2"/>
    <mergeCell ref="A3:C3"/>
    <mergeCell ref="A4:C4"/>
    <mergeCell ref="A8:B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7109375" style="0" customWidth="1"/>
    <col min="4" max="4" width="7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196</v>
      </c>
      <c r="B6" s="49"/>
      <c r="C6" s="49"/>
      <c r="D6" s="41"/>
    </row>
    <row r="7" spans="1:4" ht="8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650.1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6709.03*12-3822.6-11233.68-1716.24</f>
        <v>63735.84</v>
      </c>
      <c r="D10" s="21" t="s">
        <v>9</v>
      </c>
    </row>
    <row r="11" spans="1:4" ht="15.75">
      <c r="A11" s="10"/>
      <c r="B11" s="13" t="s">
        <v>10</v>
      </c>
      <c r="C11" s="33">
        <v>82.6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71700.96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1040.16*12</f>
        <v>12481.92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169.03*12</f>
        <v>2028.36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f>0</f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f>0</f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1163.68*12</f>
        <v>13964.16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630.6*12</f>
        <v>7567.2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988.15*12</f>
        <v>11857.8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SUM(C24:C32)</f>
        <v>23801.52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7.25" customHeight="1">
      <c r="A24" s="12"/>
      <c r="B24" s="19" t="s">
        <v>85</v>
      </c>
      <c r="C24" s="16">
        <v>6208</v>
      </c>
      <c r="D24" s="21" t="s">
        <v>9</v>
      </c>
    </row>
    <row r="25" spans="1:4" ht="15.75">
      <c r="A25" s="11"/>
      <c r="B25" s="22" t="s">
        <v>66</v>
      </c>
      <c r="C25" s="23">
        <v>2200</v>
      </c>
      <c r="D25" s="21" t="s">
        <v>9</v>
      </c>
    </row>
    <row r="26" spans="1:4" ht="15.75">
      <c r="A26" s="11"/>
      <c r="B26" s="22" t="s">
        <v>67</v>
      </c>
      <c r="C26" s="23">
        <v>2715</v>
      </c>
      <c r="D26" s="21" t="s">
        <v>9</v>
      </c>
    </row>
    <row r="27" spans="1:4" ht="15.75">
      <c r="A27" s="11"/>
      <c r="B27" s="22" t="s">
        <v>61</v>
      </c>
      <c r="C27" s="23">
        <v>928.54</v>
      </c>
      <c r="D27" s="21" t="s">
        <v>9</v>
      </c>
    </row>
    <row r="28" spans="1:4" ht="15.75">
      <c r="A28" s="11"/>
      <c r="B28" s="22" t="s">
        <v>91</v>
      </c>
      <c r="C28" s="23">
        <v>292.4</v>
      </c>
      <c r="D28" s="21" t="s">
        <v>9</v>
      </c>
    </row>
    <row r="29" spans="1:4" ht="15.75">
      <c r="A29" s="11"/>
      <c r="B29" s="22" t="s">
        <v>92</v>
      </c>
      <c r="C29" s="23">
        <v>5808.6</v>
      </c>
      <c r="D29" s="21" t="s">
        <v>9</v>
      </c>
    </row>
    <row r="30" spans="1:4" ht="15.75">
      <c r="A30" s="11"/>
      <c r="B30" s="22" t="s">
        <v>134</v>
      </c>
      <c r="C30" s="23">
        <v>4487.75</v>
      </c>
      <c r="D30" s="21" t="s">
        <v>9</v>
      </c>
    </row>
    <row r="31" spans="1:4" ht="15.75">
      <c r="A31" s="11"/>
      <c r="B31" s="22" t="s">
        <v>135</v>
      </c>
      <c r="C31" s="17">
        <v>794.95</v>
      </c>
      <c r="D31" s="21" t="s">
        <v>9</v>
      </c>
    </row>
    <row r="32" spans="1:4" ht="15.75">
      <c r="A32" s="11"/>
      <c r="B32" s="22" t="s">
        <v>75</v>
      </c>
      <c r="C32" s="17">
        <v>366.28</v>
      </c>
      <c r="D32" s="21" t="s">
        <v>9</v>
      </c>
    </row>
    <row r="33" spans="1:4" ht="15.75">
      <c r="A33" s="11"/>
      <c r="B33" s="22"/>
      <c r="D33" s="21"/>
    </row>
    <row r="34" spans="1:4" ht="15.75">
      <c r="A34" s="11"/>
      <c r="B34" s="22"/>
      <c r="C34" s="17"/>
      <c r="D34" s="21"/>
    </row>
    <row r="35" spans="1:4" ht="15.75">
      <c r="A35" s="6"/>
      <c r="B35" s="7"/>
      <c r="C35" s="7"/>
      <c r="D35" s="21"/>
    </row>
    <row r="36" spans="1:4" ht="15.75">
      <c r="A36" s="35"/>
      <c r="B36" s="44" t="s">
        <v>35</v>
      </c>
      <c r="C36" s="34">
        <f>C10-C12</f>
        <v>-7965.12</v>
      </c>
      <c r="D36" s="21" t="s">
        <v>9</v>
      </c>
    </row>
    <row r="37" spans="1:4" ht="15.75">
      <c r="A37" s="35"/>
      <c r="B37" s="35"/>
      <c r="C37" s="35" t="s">
        <v>41</v>
      </c>
      <c r="D37" s="21"/>
    </row>
    <row r="38" spans="1:4" ht="33.75" customHeight="1">
      <c r="A38" s="48" t="s">
        <v>136</v>
      </c>
      <c r="B38" s="48"/>
      <c r="C38" s="35">
        <v>41770.72</v>
      </c>
      <c r="D38" s="21" t="s">
        <v>9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3">
      <selection activeCell="E13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8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.75" customHeight="1">
      <c r="A5" s="6"/>
      <c r="B5" s="6"/>
      <c r="C5" s="6"/>
      <c r="D5" s="6"/>
    </row>
    <row r="6" spans="1:4" ht="18.75">
      <c r="A6" s="49" t="s">
        <v>197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2539.81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26210.84*12-14934.12</f>
        <v>299595.96</v>
      </c>
      <c r="D10" s="21" t="s">
        <v>9</v>
      </c>
    </row>
    <row r="11" spans="1:4" ht="15.75">
      <c r="A11" s="10"/>
      <c r="B11" s="13" t="s">
        <v>10</v>
      </c>
      <c r="C11" s="33">
        <v>87.09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401402.24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4063.7*12</f>
        <v>48764.4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660.35*12</f>
        <v>7924.2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23601.6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4546.26*12</f>
        <v>54555.12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2463.62*12</f>
        <v>29563.44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558.76*12</f>
        <v>6705.12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3860.51*12</f>
        <v>46326.12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SUM(C24:C44)</f>
        <v>183962.24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198</v>
      </c>
      <c r="C24" s="31">
        <v>4630</v>
      </c>
      <c r="D24" s="21" t="s">
        <v>9</v>
      </c>
    </row>
    <row r="25" spans="1:4" ht="15.75">
      <c r="A25" s="12"/>
      <c r="B25" s="18" t="s">
        <v>211</v>
      </c>
      <c r="C25" s="31">
        <v>91252</v>
      </c>
      <c r="D25" s="21" t="s">
        <v>9</v>
      </c>
    </row>
    <row r="26" spans="1:4" ht="15.75">
      <c r="A26" s="12"/>
      <c r="B26" s="19" t="s">
        <v>201</v>
      </c>
      <c r="C26" s="16">
        <v>2899.4</v>
      </c>
      <c r="D26" s="21" t="s">
        <v>9</v>
      </c>
    </row>
    <row r="27" spans="1:4" ht="15.75">
      <c r="A27" s="12"/>
      <c r="B27" s="19" t="s">
        <v>85</v>
      </c>
      <c r="C27" s="16">
        <v>8536</v>
      </c>
      <c r="D27" s="21" t="s">
        <v>9</v>
      </c>
    </row>
    <row r="28" spans="1:4" ht="15.75">
      <c r="A28" s="12"/>
      <c r="B28" s="19" t="s">
        <v>147</v>
      </c>
      <c r="C28" s="16">
        <v>587.68</v>
      </c>
      <c r="D28" s="21" t="s">
        <v>9</v>
      </c>
    </row>
    <row r="29" spans="1:4" ht="15.75">
      <c r="A29" s="12"/>
      <c r="B29" s="19" t="s">
        <v>199</v>
      </c>
      <c r="C29" s="16">
        <v>9974</v>
      </c>
      <c r="D29" s="21" t="s">
        <v>9</v>
      </c>
    </row>
    <row r="30" spans="1:4" ht="15.75">
      <c r="A30" s="11"/>
      <c r="B30" s="22" t="s">
        <v>203</v>
      </c>
      <c r="C30" s="23">
        <v>121</v>
      </c>
      <c r="D30" s="21" t="s">
        <v>9</v>
      </c>
    </row>
    <row r="31" spans="1:4" ht="16.5" customHeight="1">
      <c r="A31" s="11"/>
      <c r="B31" s="22" t="s">
        <v>204</v>
      </c>
      <c r="C31" s="23">
        <v>606.2</v>
      </c>
      <c r="D31" s="21" t="s">
        <v>9</v>
      </c>
    </row>
    <row r="32" spans="1:4" ht="15.75">
      <c r="A32" s="11"/>
      <c r="B32" s="22" t="s">
        <v>200</v>
      </c>
      <c r="C32" s="23">
        <v>505</v>
      </c>
      <c r="D32" s="21" t="s">
        <v>9</v>
      </c>
    </row>
    <row r="33" spans="1:4" ht="15.75">
      <c r="A33" s="11"/>
      <c r="B33" s="22" t="s">
        <v>81</v>
      </c>
      <c r="C33" s="23">
        <v>3159.4</v>
      </c>
      <c r="D33" s="21" t="s">
        <v>9</v>
      </c>
    </row>
    <row r="34" spans="1:4" ht="15.75">
      <c r="A34" s="11"/>
      <c r="B34" s="22" t="s">
        <v>37</v>
      </c>
      <c r="C34" s="23">
        <v>432</v>
      </c>
      <c r="D34" s="21" t="s">
        <v>9</v>
      </c>
    </row>
    <row r="35" spans="1:4" ht="15.75">
      <c r="A35" s="11"/>
      <c r="B35" s="22" t="s">
        <v>202</v>
      </c>
      <c r="C35" s="23">
        <v>872.14</v>
      </c>
      <c r="D35" s="21" t="s">
        <v>9</v>
      </c>
    </row>
    <row r="36" spans="1:4" ht="15.75">
      <c r="A36" s="11"/>
      <c r="B36" s="19" t="s">
        <v>48</v>
      </c>
      <c r="C36" s="23">
        <v>10374</v>
      </c>
      <c r="D36" s="21" t="s">
        <v>9</v>
      </c>
    </row>
    <row r="37" spans="1:4" ht="15.75">
      <c r="A37" s="11"/>
      <c r="B37" s="22" t="s">
        <v>61</v>
      </c>
      <c r="C37" s="23">
        <f>1654.5+928.54</f>
        <v>2583.04</v>
      </c>
      <c r="D37" s="21" t="s">
        <v>9</v>
      </c>
    </row>
    <row r="38" spans="1:4" ht="15.75">
      <c r="A38" s="11"/>
      <c r="B38" s="22" t="s">
        <v>91</v>
      </c>
      <c r="C38" s="23">
        <v>1228.08</v>
      </c>
      <c r="D38" s="21" t="s">
        <v>9</v>
      </c>
    </row>
    <row r="39" spans="1:4" ht="15.75">
      <c r="A39" s="11"/>
      <c r="B39" s="22" t="s">
        <v>92</v>
      </c>
      <c r="C39" s="23">
        <f>432+2581.6</f>
        <v>3013.6</v>
      </c>
      <c r="D39" s="21" t="s">
        <v>9</v>
      </c>
    </row>
    <row r="40" spans="1:4" ht="15.75">
      <c r="A40" s="11"/>
      <c r="B40" s="22" t="s">
        <v>134</v>
      </c>
      <c r="C40" s="23">
        <v>20752.27</v>
      </c>
      <c r="D40" s="21" t="s">
        <v>9</v>
      </c>
    </row>
    <row r="41" spans="1:4" ht="15.75">
      <c r="A41" s="11"/>
      <c r="B41" s="22" t="s">
        <v>135</v>
      </c>
      <c r="C41" s="17">
        <v>5078.86</v>
      </c>
      <c r="D41" s="21" t="s">
        <v>9</v>
      </c>
    </row>
    <row r="42" spans="1:4" ht="15.75">
      <c r="A42" s="11"/>
      <c r="B42" s="22" t="s">
        <v>93</v>
      </c>
      <c r="C42" s="23">
        <v>244</v>
      </c>
      <c r="D42" s="21" t="s">
        <v>9</v>
      </c>
    </row>
    <row r="43" spans="1:4" ht="15.75">
      <c r="A43" s="11"/>
      <c r="B43" s="22" t="s">
        <v>75</v>
      </c>
      <c r="C43" s="17">
        <v>1190.41</v>
      </c>
      <c r="D43" s="21" t="s">
        <v>9</v>
      </c>
    </row>
    <row r="44" spans="1:4" ht="50.25" customHeight="1">
      <c r="A44" s="11"/>
      <c r="B44" s="19" t="s">
        <v>87</v>
      </c>
      <c r="C44" s="17">
        <f>13935+1988.16</f>
        <v>15923.16</v>
      </c>
      <c r="D44" s="21" t="s">
        <v>9</v>
      </c>
    </row>
    <row r="45" spans="1:4" ht="15.75">
      <c r="A45" s="11"/>
      <c r="B45" s="22"/>
      <c r="D45" s="21"/>
    </row>
    <row r="46" spans="1:4" ht="15.75">
      <c r="A46" s="35"/>
      <c r="B46" s="44" t="s">
        <v>35</v>
      </c>
      <c r="C46" s="34">
        <f>C10-C12</f>
        <v>-101806.28</v>
      </c>
      <c r="D46" s="21" t="s">
        <v>9</v>
      </c>
    </row>
    <row r="47" spans="1:4" ht="15.75">
      <c r="A47" s="35"/>
      <c r="B47" s="35"/>
      <c r="C47" s="35" t="s">
        <v>41</v>
      </c>
      <c r="D47" s="21"/>
    </row>
    <row r="48" spans="1:4" ht="33.75" customHeight="1">
      <c r="A48" s="48" t="s">
        <v>136</v>
      </c>
      <c r="B48" s="48"/>
      <c r="C48" s="35">
        <v>62085.27</v>
      </c>
      <c r="D48" s="21" t="s">
        <v>9</v>
      </c>
    </row>
    <row r="49" spans="1:4" ht="15.75">
      <c r="A49" s="6"/>
      <c r="B49" s="6"/>
      <c r="C49" s="6"/>
      <c r="D49" s="6"/>
    </row>
    <row r="50" spans="1:4" ht="15.75">
      <c r="A50" s="6"/>
      <c r="B50" s="6"/>
      <c r="C50" s="6"/>
      <c r="D50" s="6"/>
    </row>
  </sheetData>
  <mergeCells count="7">
    <mergeCell ref="A6:C6"/>
    <mergeCell ref="A8:B8"/>
    <mergeCell ref="A48:B48"/>
    <mergeCell ref="A1:C1"/>
    <mergeCell ref="A2:C2"/>
    <mergeCell ref="A3:C3"/>
    <mergeCell ref="A4:C4"/>
  </mergeCells>
  <printOptions/>
  <pageMargins left="0.7874015748031497" right="0.3937007874015748" top="0.1968503937007874" bottom="0.1968503937007874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205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419.8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3656.46*12</f>
        <v>43877.52</v>
      </c>
      <c r="D10" s="21" t="s">
        <v>9</v>
      </c>
    </row>
    <row r="11" spans="1:4" ht="15.75">
      <c r="A11" s="10"/>
      <c r="B11" s="13" t="s">
        <v>10</v>
      </c>
      <c r="C11" s="33">
        <v>56.25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42413.15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671.68*12</f>
        <v>8060.16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109.15*12</f>
        <v>1309.8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516.35*12</f>
        <v>6196.2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407.21*12</f>
        <v>4886.52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92.36*12</f>
        <v>1108.32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638.1*12</f>
        <v>7657.2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13194.95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206</v>
      </c>
      <c r="C24" s="31">
        <v>401</v>
      </c>
      <c r="D24" s="21" t="s">
        <v>9</v>
      </c>
    </row>
    <row r="25" spans="1:4" ht="15.75">
      <c r="A25" s="12"/>
      <c r="B25" s="19" t="s">
        <v>202</v>
      </c>
      <c r="C25" s="16">
        <v>871.14</v>
      </c>
      <c r="D25" s="21" t="s">
        <v>9</v>
      </c>
    </row>
    <row r="26" spans="1:4" ht="15.75">
      <c r="A26" s="12"/>
      <c r="B26" s="19" t="s">
        <v>147</v>
      </c>
      <c r="C26" s="16">
        <v>975.36</v>
      </c>
      <c r="D26" s="21" t="s">
        <v>9</v>
      </c>
    </row>
    <row r="27" spans="1:4" ht="15.75">
      <c r="A27" s="12"/>
      <c r="B27" s="19" t="s">
        <v>212</v>
      </c>
      <c r="C27" s="16">
        <v>109</v>
      </c>
      <c r="D27" s="21" t="s">
        <v>9</v>
      </c>
    </row>
    <row r="28" spans="1:4" ht="15.75">
      <c r="A28" s="11"/>
      <c r="B28" s="22" t="s">
        <v>81</v>
      </c>
      <c r="C28" s="23">
        <f>486.05+71.5</f>
        <v>557.55</v>
      </c>
      <c r="D28" s="21" t="s">
        <v>9</v>
      </c>
    </row>
    <row r="29" spans="1:4" ht="15.75">
      <c r="A29" s="11"/>
      <c r="B29" s="22" t="s">
        <v>82</v>
      </c>
      <c r="C29" s="23">
        <v>526</v>
      </c>
      <c r="D29" s="21" t="s">
        <v>9</v>
      </c>
    </row>
    <row r="30" spans="1:4" ht="15.75">
      <c r="A30" s="11"/>
      <c r="B30" s="22" t="s">
        <v>84</v>
      </c>
      <c r="C30" s="23">
        <v>915.75</v>
      </c>
      <c r="D30" s="21" t="s">
        <v>9</v>
      </c>
    </row>
    <row r="31" spans="1:4" ht="15.75">
      <c r="A31" s="11"/>
      <c r="B31" s="22" t="s">
        <v>134</v>
      </c>
      <c r="C31" s="23">
        <v>6200.91</v>
      </c>
      <c r="D31" s="21" t="s">
        <v>9</v>
      </c>
    </row>
    <row r="32" spans="1:4" ht="15.75">
      <c r="A32" s="11"/>
      <c r="B32" s="22" t="s">
        <v>135</v>
      </c>
      <c r="C32" s="17">
        <v>971.62</v>
      </c>
      <c r="D32" s="21" t="s">
        <v>9</v>
      </c>
    </row>
    <row r="33" spans="1:4" ht="15.75">
      <c r="A33" s="11"/>
      <c r="B33" s="22" t="s">
        <v>93</v>
      </c>
      <c r="C33" s="17">
        <f>812.34+488</f>
        <v>1300.34</v>
      </c>
      <c r="D33" s="21" t="s">
        <v>9</v>
      </c>
    </row>
    <row r="34" spans="1:4" ht="15.75">
      <c r="A34" s="11"/>
      <c r="B34" s="22" t="s">
        <v>75</v>
      </c>
      <c r="C34" s="17">
        <v>366.28</v>
      </c>
      <c r="D34" s="21" t="s">
        <v>9</v>
      </c>
    </row>
    <row r="35" spans="1:4" ht="15.75">
      <c r="A35" s="11"/>
      <c r="B35" s="22"/>
      <c r="D35" s="21"/>
    </row>
    <row r="36" spans="1:4" ht="15.75">
      <c r="A36" s="11"/>
      <c r="B36" s="22"/>
      <c r="C36" s="17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1464.37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32.25" customHeight="1">
      <c r="A40" s="48" t="s">
        <v>136</v>
      </c>
      <c r="B40" s="48"/>
      <c r="C40" s="35">
        <v>62983.82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207</v>
      </c>
      <c r="B6" s="49"/>
      <c r="C6" s="49"/>
      <c r="D6" s="41"/>
    </row>
    <row r="7" spans="1:4" ht="12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308.9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2841.88*12-1816.32</f>
        <v>32286.24</v>
      </c>
      <c r="D10" s="21" t="s">
        <v>9</v>
      </c>
    </row>
    <row r="11" spans="1:4" ht="15.75">
      <c r="A11" s="10"/>
      <c r="B11" s="13" t="s">
        <v>10</v>
      </c>
      <c r="C11" s="33">
        <v>95.5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25187.16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494.24*12</f>
        <v>5930.88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80.31*12</f>
        <v>963.72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379.95*12</f>
        <v>4559.4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299.63*12</f>
        <v>3595.56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67.96*12</f>
        <v>815.52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469.53*12</f>
        <v>5634.36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SUM(C24:C27)</f>
        <v>3687.72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486.05</v>
      </c>
      <c r="D24" s="21" t="s">
        <v>9</v>
      </c>
    </row>
    <row r="25" spans="1:4" ht="15.75">
      <c r="A25" s="11"/>
      <c r="B25" s="22" t="s">
        <v>134</v>
      </c>
      <c r="C25" s="23">
        <v>2311.53</v>
      </c>
      <c r="D25" s="21" t="s">
        <v>9</v>
      </c>
    </row>
    <row r="26" spans="1:4" ht="15.75">
      <c r="A26" s="11"/>
      <c r="B26" s="22" t="s">
        <v>135</v>
      </c>
      <c r="C26" s="17">
        <v>662.47</v>
      </c>
      <c r="D26" s="21" t="s">
        <v>9</v>
      </c>
    </row>
    <row r="27" spans="1:4" ht="47.25" customHeight="1">
      <c r="A27" s="11"/>
      <c r="B27" s="19" t="s">
        <v>87</v>
      </c>
      <c r="C27" s="17">
        <v>227.67</v>
      </c>
      <c r="D27" s="21" t="s">
        <v>9</v>
      </c>
    </row>
    <row r="28" spans="1:4" ht="15.75">
      <c r="A28" s="11"/>
      <c r="B28" s="22"/>
      <c r="D28" s="21"/>
    </row>
    <row r="29" spans="1:4" ht="15.75">
      <c r="A29" s="11"/>
      <c r="B29" s="22"/>
      <c r="C29" s="17"/>
      <c r="D29" s="21"/>
    </row>
    <row r="30" spans="1:4" ht="15.75">
      <c r="A30" s="6"/>
      <c r="B30" s="7"/>
      <c r="C30" s="7"/>
      <c r="D30" s="21"/>
    </row>
    <row r="31" spans="1:4" ht="15.75">
      <c r="A31" s="35"/>
      <c r="B31" s="44" t="s">
        <v>35</v>
      </c>
      <c r="C31" s="34">
        <f>C10-C12</f>
        <v>7099.08</v>
      </c>
      <c r="D31" s="21" t="s">
        <v>9</v>
      </c>
    </row>
    <row r="32" spans="1:4" ht="15.75">
      <c r="A32" s="35"/>
      <c r="B32" s="35"/>
      <c r="C32" s="35" t="s">
        <v>41</v>
      </c>
      <c r="D32" s="21"/>
    </row>
    <row r="33" spans="1:4" ht="30.75" customHeight="1">
      <c r="A33" s="48" t="s">
        <v>136</v>
      </c>
      <c r="B33" s="48"/>
      <c r="C33" s="35">
        <v>0</v>
      </c>
      <c r="D33" s="21" t="s">
        <v>9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7109375" style="0" customWidth="1"/>
    <col min="4" max="4" width="7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208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249.2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1811.68*12</f>
        <v>21740.16</v>
      </c>
      <c r="D10" s="21" t="s">
        <v>9</v>
      </c>
    </row>
    <row r="11" spans="1:4" ht="15.75">
      <c r="A11" s="10"/>
      <c r="B11" s="13" t="s">
        <v>10</v>
      </c>
      <c r="C11" s="33">
        <v>90.28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22871.73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398.72*12</f>
        <v>4784.64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64.79*12</f>
        <v>777.48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306.52*12</f>
        <v>3678.24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241.72*12</f>
        <v>2900.64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54.82*12</f>
        <v>657.84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378.78*12</f>
        <v>4545.36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SUM(C24:C31)</f>
        <v>5527.53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147</v>
      </c>
      <c r="C24" s="16">
        <v>1016</v>
      </c>
      <c r="D24" s="21" t="s">
        <v>9</v>
      </c>
    </row>
    <row r="25" spans="1:4" ht="15.75">
      <c r="A25" s="11"/>
      <c r="B25" s="22" t="s">
        <v>213</v>
      </c>
      <c r="C25" s="23">
        <v>1744</v>
      </c>
      <c r="D25" s="21" t="s">
        <v>9</v>
      </c>
    </row>
    <row r="26" spans="1:4" ht="15.75">
      <c r="A26" s="11"/>
      <c r="B26" s="22" t="s">
        <v>81</v>
      </c>
      <c r="C26" s="23">
        <v>486.06</v>
      </c>
      <c r="D26" s="21" t="s">
        <v>9</v>
      </c>
    </row>
    <row r="27" spans="1:4" ht="15.75">
      <c r="A27" s="11"/>
      <c r="B27" s="22" t="s">
        <v>91</v>
      </c>
      <c r="C27" s="23">
        <v>175.44</v>
      </c>
      <c r="D27" s="21" t="s">
        <v>9</v>
      </c>
    </row>
    <row r="28" spans="1:4" ht="15.75">
      <c r="A28" s="11"/>
      <c r="B28" s="22" t="s">
        <v>134</v>
      </c>
      <c r="C28" s="23">
        <v>1657.9</v>
      </c>
      <c r="D28" s="21" t="s">
        <v>9</v>
      </c>
    </row>
    <row r="29" spans="1:4" ht="15.75">
      <c r="A29" s="11"/>
      <c r="B29" s="22" t="s">
        <v>135</v>
      </c>
      <c r="C29" s="17">
        <v>264.99</v>
      </c>
      <c r="D29" s="21" t="s">
        <v>9</v>
      </c>
    </row>
    <row r="30" spans="1:4" ht="15.75">
      <c r="A30" s="11"/>
      <c r="B30" s="22" t="s">
        <v>75</v>
      </c>
      <c r="C30" s="17">
        <v>183.14</v>
      </c>
      <c r="D30" s="21" t="s">
        <v>9</v>
      </c>
    </row>
    <row r="31" spans="1:4" ht="46.5" customHeight="1">
      <c r="A31" s="11"/>
      <c r="B31" s="19" t="s">
        <v>87</v>
      </c>
      <c r="C31" s="17"/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-1131.57</v>
      </c>
      <c r="D35" s="21" t="s">
        <v>9</v>
      </c>
    </row>
    <row r="36" spans="1:4" ht="15.75">
      <c r="A36" s="35"/>
      <c r="B36" s="35"/>
      <c r="C36" s="35" t="s">
        <v>41</v>
      </c>
      <c r="D36" s="21"/>
    </row>
    <row r="37" spans="1:4" ht="30" customHeight="1">
      <c r="A37" s="48" t="s">
        <v>136</v>
      </c>
      <c r="B37" s="48"/>
      <c r="C37" s="35">
        <v>0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7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209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329.6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3032.32*12-1938</f>
        <v>34449.84</v>
      </c>
      <c r="D10" s="21" t="s">
        <v>9</v>
      </c>
    </row>
    <row r="11" spans="1:4" ht="15.75">
      <c r="A11" s="10"/>
      <c r="B11" s="13" t="s">
        <v>10</v>
      </c>
      <c r="C11" s="33">
        <v>90.99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33853.03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527.36*12</f>
        <v>6328.32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85.7*12</f>
        <v>1028.4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405.41*12</f>
        <v>4864.92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319.71*12</f>
        <v>3836.52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72.51*12</f>
        <v>870.12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500.99*12</f>
        <v>6011.88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SUM(C24:C33)</f>
        <v>10912.87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210</v>
      </c>
      <c r="C24" s="31">
        <v>384</v>
      </c>
      <c r="D24" s="21" t="s">
        <v>9</v>
      </c>
    </row>
    <row r="25" spans="1:4" ht="15.75">
      <c r="A25" s="11"/>
      <c r="B25" s="22" t="s">
        <v>81</v>
      </c>
      <c r="C25" s="23">
        <v>486.06</v>
      </c>
      <c r="D25" s="21" t="s">
        <v>9</v>
      </c>
    </row>
    <row r="26" spans="1:4" ht="15.75">
      <c r="A26" s="11"/>
      <c r="B26" s="22" t="s">
        <v>214</v>
      </c>
      <c r="C26" s="23">
        <v>654</v>
      </c>
      <c r="D26" s="21" t="s">
        <v>9</v>
      </c>
    </row>
    <row r="27" spans="1:4" ht="15.75">
      <c r="A27" s="11"/>
      <c r="B27" s="22" t="s">
        <v>37</v>
      </c>
      <c r="C27" s="23">
        <v>180</v>
      </c>
      <c r="D27" s="21" t="s">
        <v>9</v>
      </c>
    </row>
    <row r="28" spans="1:4" ht="15.75">
      <c r="A28" s="11"/>
      <c r="B28" s="19" t="s">
        <v>48</v>
      </c>
      <c r="C28" s="23">
        <f>3192+1308</f>
        <v>4500</v>
      </c>
      <c r="D28" s="21" t="s">
        <v>9</v>
      </c>
    </row>
    <row r="29" spans="1:4" ht="15.75">
      <c r="A29" s="11"/>
      <c r="B29" s="22" t="s">
        <v>61</v>
      </c>
      <c r="C29" s="23">
        <v>827.25</v>
      </c>
      <c r="D29" s="21" t="s">
        <v>9</v>
      </c>
    </row>
    <row r="30" spans="1:4" ht="15.75">
      <c r="A30" s="11"/>
      <c r="B30" s="22" t="s">
        <v>72</v>
      </c>
      <c r="C30" s="23">
        <v>1439.03</v>
      </c>
      <c r="D30" s="21" t="s">
        <v>9</v>
      </c>
    </row>
    <row r="31" spans="1:4" ht="15.75">
      <c r="A31" s="11"/>
      <c r="B31" s="22" t="s">
        <v>134</v>
      </c>
      <c r="C31" s="23">
        <v>1596.92</v>
      </c>
      <c r="D31" s="21" t="s">
        <v>9</v>
      </c>
    </row>
    <row r="32" spans="1:4" ht="15.75">
      <c r="A32" s="11"/>
      <c r="B32" s="22" t="s">
        <v>135</v>
      </c>
      <c r="C32" s="17">
        <v>662.47</v>
      </c>
      <c r="D32" s="21" t="s">
        <v>9</v>
      </c>
    </row>
    <row r="33" spans="1:4" ht="15.75">
      <c r="A33" s="11"/>
      <c r="B33" s="22" t="s">
        <v>75</v>
      </c>
      <c r="C33" s="17">
        <v>183.14</v>
      </c>
      <c r="D33" s="21" t="s">
        <v>9</v>
      </c>
    </row>
    <row r="34" spans="1:4" ht="15.75">
      <c r="A34" s="11"/>
      <c r="B34" s="22"/>
      <c r="D34" s="21"/>
    </row>
    <row r="35" spans="1:4" ht="15.75">
      <c r="A35" s="11"/>
      <c r="B35" s="22"/>
      <c r="C35" s="17"/>
      <c r="D35" s="21"/>
    </row>
    <row r="36" spans="1:4" ht="15.75">
      <c r="A36" s="6"/>
      <c r="B36" s="7"/>
      <c r="C36" s="7"/>
      <c r="D36" s="21"/>
    </row>
    <row r="37" spans="1:4" ht="15.75">
      <c r="A37" s="35"/>
      <c r="B37" s="44" t="s">
        <v>35</v>
      </c>
      <c r="C37" s="34">
        <f>C10-C12</f>
        <v>596.81</v>
      </c>
      <c r="D37" s="21" t="s">
        <v>9</v>
      </c>
    </row>
    <row r="38" spans="1:4" ht="15.75">
      <c r="A38" s="35"/>
      <c r="B38" s="35"/>
      <c r="C38" s="35" t="s">
        <v>41</v>
      </c>
      <c r="D38" s="21"/>
    </row>
    <row r="39" spans="1:4" ht="29.25" customHeight="1">
      <c r="A39" s="48" t="s">
        <v>136</v>
      </c>
      <c r="B39" s="48"/>
      <c r="C39" s="35">
        <v>3708.33</v>
      </c>
      <c r="D39" s="21" t="s">
        <v>9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215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334.1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3073.72*12-1964.52</f>
        <v>34920.12</v>
      </c>
      <c r="D10" s="21" t="s">
        <v>9</v>
      </c>
    </row>
    <row r="11" spans="1:4" ht="15.75">
      <c r="A11" s="10"/>
      <c r="B11" s="13" t="s">
        <v>10</v>
      </c>
      <c r="C11" s="33">
        <v>89.69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53794.44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534.56*12</f>
        <v>6414.72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89.87*12</f>
        <v>1078.44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410.94*12</f>
        <v>4931.28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324.08*12</f>
        <v>3888.96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73.5*12</f>
        <v>882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507.83*12</f>
        <v>6093.96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SUM(C24:C28)</f>
        <v>30505.08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486.06</v>
      </c>
      <c r="D24" s="21" t="s">
        <v>9</v>
      </c>
    </row>
    <row r="25" spans="1:4" ht="15.75">
      <c r="A25" s="11"/>
      <c r="B25" s="22" t="s">
        <v>72</v>
      </c>
      <c r="C25" s="23">
        <f>5756.12+218+1439.03</f>
        <v>7413.15</v>
      </c>
      <c r="D25" s="21" t="s">
        <v>9</v>
      </c>
    </row>
    <row r="26" spans="1:4" ht="15.75">
      <c r="A26" s="11"/>
      <c r="B26" s="22" t="s">
        <v>216</v>
      </c>
      <c r="C26" s="23">
        <v>2027.7</v>
      </c>
      <c r="D26" s="21" t="s">
        <v>9</v>
      </c>
    </row>
    <row r="27" spans="1:4" ht="15.75">
      <c r="A27" s="11"/>
      <c r="B27" s="22" t="s">
        <v>134</v>
      </c>
      <c r="C27" s="23">
        <v>19915.7</v>
      </c>
      <c r="D27" s="21" t="s">
        <v>9</v>
      </c>
    </row>
    <row r="28" spans="1:4" ht="15.75">
      <c r="A28" s="11"/>
      <c r="B28" s="22" t="s">
        <v>135</v>
      </c>
      <c r="C28" s="17">
        <v>662.47</v>
      </c>
      <c r="D28" s="21" t="s">
        <v>9</v>
      </c>
    </row>
    <row r="29" spans="1:4" ht="15.75">
      <c r="A29" s="11"/>
      <c r="B29" s="22"/>
      <c r="D29" s="21"/>
    </row>
    <row r="30" spans="1:4" ht="15.75">
      <c r="A30" s="11"/>
      <c r="B30" s="22"/>
      <c r="C30" s="17"/>
      <c r="D30" s="21"/>
    </row>
    <row r="31" spans="1:4" ht="15.75">
      <c r="A31" s="6"/>
      <c r="B31" s="7"/>
      <c r="C31" s="7"/>
      <c r="D31" s="21"/>
    </row>
    <row r="32" spans="1:4" ht="15.75">
      <c r="A32" s="35"/>
      <c r="B32" s="44" t="s">
        <v>35</v>
      </c>
      <c r="C32" s="34">
        <f>C10-C12</f>
        <v>-18874.32</v>
      </c>
      <c r="D32" s="21" t="s">
        <v>9</v>
      </c>
    </row>
    <row r="33" spans="1:4" ht="15.75">
      <c r="A33" s="35"/>
      <c r="B33" s="35"/>
      <c r="C33" s="35" t="s">
        <v>41</v>
      </c>
      <c r="D33" s="21"/>
    </row>
    <row r="34" spans="1:4" ht="31.5" customHeight="1">
      <c r="A34" s="48" t="s">
        <v>136</v>
      </c>
      <c r="B34" s="48"/>
      <c r="C34" s="35">
        <v>6814.36</v>
      </c>
      <c r="D34" s="21" t="s">
        <v>9</v>
      </c>
    </row>
    <row r="35" spans="1:4" ht="15.75">
      <c r="A35" s="6"/>
      <c r="B35" s="6"/>
      <c r="C35" s="6"/>
      <c r="D35" s="6"/>
    </row>
    <row r="36" spans="1:4" ht="15.75">
      <c r="A36" s="6"/>
      <c r="B36" s="6"/>
      <c r="C36" s="6"/>
      <c r="D36" s="6"/>
    </row>
  </sheetData>
  <mergeCells count="7">
    <mergeCell ref="A6:C6"/>
    <mergeCell ref="A8:B8"/>
    <mergeCell ref="A34:B34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217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691.1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6358.12*12</f>
        <v>76297.44</v>
      </c>
      <c r="D10" s="21" t="s">
        <v>9</v>
      </c>
    </row>
    <row r="11" spans="1:4" ht="15.75">
      <c r="A11" s="10"/>
      <c r="B11" s="13" t="s">
        <v>10</v>
      </c>
      <c r="C11" s="33">
        <v>79.42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91796.79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1105.76*12</f>
        <v>13269.12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179.69*12</f>
        <v>2156.28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3312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850.05*12</f>
        <v>10200.6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670.37*12</f>
        <v>8044.44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152.04*12</f>
        <v>1824.48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1050.47*12</f>
        <v>12605.64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SUM(C24:C32)</f>
        <v>32507.43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486.06</v>
      </c>
      <c r="D24" s="21" t="s">
        <v>9</v>
      </c>
    </row>
    <row r="25" spans="1:4" ht="15.75">
      <c r="A25" s="11"/>
      <c r="B25" s="19" t="s">
        <v>48</v>
      </c>
      <c r="C25" s="23">
        <v>16438.8</v>
      </c>
      <c r="D25" s="21" t="s">
        <v>9</v>
      </c>
    </row>
    <row r="26" spans="1:4" ht="15.75">
      <c r="A26" s="11"/>
      <c r="B26" s="22" t="s">
        <v>72</v>
      </c>
      <c r="C26" s="23">
        <f>1439.04+2878.06</f>
        <v>4317.1</v>
      </c>
      <c r="D26" s="21" t="s">
        <v>9</v>
      </c>
    </row>
    <row r="27" spans="1:4" ht="15.75">
      <c r="A27" s="11"/>
      <c r="B27" s="22" t="s">
        <v>91</v>
      </c>
      <c r="C27" s="23">
        <f>935.68+812.34</f>
        <v>1748.02</v>
      </c>
      <c r="D27" s="21" t="s">
        <v>9</v>
      </c>
    </row>
    <row r="28" spans="1:4" ht="15.75">
      <c r="A28" s="11"/>
      <c r="B28" s="22" t="s">
        <v>218</v>
      </c>
      <c r="C28" s="23">
        <v>2686.16</v>
      </c>
      <c r="D28" s="21" t="s">
        <v>9</v>
      </c>
    </row>
    <row r="29" spans="1:4" ht="15.75">
      <c r="A29" s="11"/>
      <c r="B29" s="22" t="s">
        <v>134</v>
      </c>
      <c r="C29" s="23">
        <v>4659.26</v>
      </c>
      <c r="D29" s="21" t="s">
        <v>9</v>
      </c>
    </row>
    <row r="30" spans="1:4" ht="15.75">
      <c r="A30" s="11"/>
      <c r="B30" s="22" t="s">
        <v>135</v>
      </c>
      <c r="C30" s="17">
        <v>1280.75</v>
      </c>
      <c r="D30" s="21" t="s">
        <v>9</v>
      </c>
    </row>
    <row r="31" spans="1:4" ht="15.75">
      <c r="A31" s="11"/>
      <c r="B31" s="22" t="s">
        <v>75</v>
      </c>
      <c r="C31" s="17">
        <v>366.28</v>
      </c>
      <c r="D31" s="21" t="s">
        <v>9</v>
      </c>
    </row>
    <row r="32" spans="1:4" ht="48" customHeight="1">
      <c r="A32" s="11"/>
      <c r="B32" s="19" t="s">
        <v>87</v>
      </c>
      <c r="C32" s="23">
        <v>525</v>
      </c>
      <c r="D32" s="21" t="s">
        <v>9</v>
      </c>
    </row>
    <row r="33" spans="1:4" ht="15.75">
      <c r="A33" s="11"/>
      <c r="B33" s="22"/>
      <c r="D33" s="21"/>
    </row>
    <row r="34" spans="1:4" ht="15.75">
      <c r="A34" s="11"/>
      <c r="B34" s="22"/>
      <c r="C34" s="17"/>
      <c r="D34" s="21"/>
    </row>
    <row r="35" spans="1:4" ht="15.75">
      <c r="A35" s="6"/>
      <c r="B35" s="7"/>
      <c r="C35" s="7"/>
      <c r="D35" s="21"/>
    </row>
    <row r="36" spans="1:4" ht="15.75">
      <c r="A36" s="35"/>
      <c r="B36" s="44" t="s">
        <v>35</v>
      </c>
      <c r="C36" s="34">
        <f>C10-C12</f>
        <v>-15499.35</v>
      </c>
      <c r="D36" s="21" t="s">
        <v>9</v>
      </c>
    </row>
    <row r="37" spans="1:4" ht="15.75">
      <c r="A37" s="35"/>
      <c r="B37" s="35"/>
      <c r="C37" s="35" t="s">
        <v>41</v>
      </c>
      <c r="D37" s="21"/>
    </row>
    <row r="38" spans="1:4" ht="31.5" customHeight="1">
      <c r="A38" s="48" t="s">
        <v>136</v>
      </c>
      <c r="B38" s="48"/>
      <c r="C38" s="35">
        <v>34331.11</v>
      </c>
      <c r="D38" s="21" t="s">
        <v>9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7.14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219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343.5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3160.2*12-2019.84</f>
        <v>35902.56</v>
      </c>
      <c r="D10" s="21" t="s">
        <v>9</v>
      </c>
    </row>
    <row r="11" spans="1:4" ht="15.75">
      <c r="A11" s="10"/>
      <c r="B11" s="13" t="s">
        <v>10</v>
      </c>
      <c r="C11" s="33">
        <v>64.89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58257.69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549.6*12</f>
        <v>6595.2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89.31*12</f>
        <v>1071.72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422.51*12</f>
        <v>5070.12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333.2*12</f>
        <v>3998.4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75.57*12</f>
        <v>906.84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522.12*12</f>
        <v>6265.44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SUM(C24:C32)</f>
        <v>26473.17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220</v>
      </c>
      <c r="C24" s="31">
        <v>1743</v>
      </c>
      <c r="D24" s="21" t="s">
        <v>9</v>
      </c>
    </row>
    <row r="25" spans="1:4" ht="15.75">
      <c r="A25" s="12"/>
      <c r="B25" s="18" t="s">
        <v>221</v>
      </c>
      <c r="C25" s="28">
        <v>292.12</v>
      </c>
      <c r="D25" s="21" t="s">
        <v>9</v>
      </c>
    </row>
    <row r="26" spans="1:4" ht="15.75">
      <c r="A26" s="12"/>
      <c r="B26" s="19" t="s">
        <v>79</v>
      </c>
      <c r="C26" s="16">
        <v>17315</v>
      </c>
      <c r="D26" s="21" t="s">
        <v>9</v>
      </c>
    </row>
    <row r="27" spans="1:4" ht="15.75">
      <c r="A27" s="11"/>
      <c r="B27" s="22" t="s">
        <v>81</v>
      </c>
      <c r="C27" s="23">
        <v>486.06</v>
      </c>
      <c r="D27" s="21" t="s">
        <v>9</v>
      </c>
    </row>
    <row r="28" spans="1:4" ht="15.75">
      <c r="A28" s="11"/>
      <c r="B28" s="22" t="s">
        <v>91</v>
      </c>
      <c r="C28" s="23">
        <f>58.48+406.17+348.8</f>
        <v>813.45</v>
      </c>
      <c r="D28" s="21" t="s">
        <v>9</v>
      </c>
    </row>
    <row r="29" spans="1:4" ht="15.75">
      <c r="A29" s="11"/>
      <c r="B29" s="22" t="s">
        <v>92</v>
      </c>
      <c r="C29" s="23">
        <v>1962.3</v>
      </c>
      <c r="D29" s="21" t="s">
        <v>9</v>
      </c>
    </row>
    <row r="30" spans="1:4" ht="15.75">
      <c r="A30" s="11"/>
      <c r="B30" s="22" t="s">
        <v>134</v>
      </c>
      <c r="C30" s="23">
        <v>2326.77</v>
      </c>
      <c r="D30" s="21" t="s">
        <v>9</v>
      </c>
    </row>
    <row r="31" spans="1:4" ht="15.75">
      <c r="A31" s="11"/>
      <c r="B31" s="22" t="s">
        <v>135</v>
      </c>
      <c r="C31" s="17">
        <v>662.47</v>
      </c>
      <c r="D31" s="21" t="s">
        <v>9</v>
      </c>
    </row>
    <row r="32" spans="1:4" ht="48" customHeight="1">
      <c r="A32" s="11"/>
      <c r="B32" s="19" t="s">
        <v>87</v>
      </c>
      <c r="C32" s="17">
        <v>872</v>
      </c>
      <c r="D32" s="21" t="s">
        <v>9</v>
      </c>
    </row>
    <row r="33" spans="1:4" ht="15.75">
      <c r="A33" s="11"/>
      <c r="B33" s="22"/>
      <c r="D33" s="21"/>
    </row>
    <row r="34" spans="1:4" ht="15.75">
      <c r="A34" s="11"/>
      <c r="B34" s="22"/>
      <c r="C34" s="17"/>
      <c r="D34" s="21"/>
    </row>
    <row r="35" spans="1:4" ht="15.75">
      <c r="A35" s="6"/>
      <c r="B35" s="7"/>
      <c r="C35" s="7"/>
      <c r="D35" s="21"/>
    </row>
    <row r="36" spans="1:4" ht="15.75">
      <c r="A36" s="35"/>
      <c r="B36" s="44" t="s">
        <v>35</v>
      </c>
      <c r="C36" s="34">
        <f>C10-C12</f>
        <v>-22355.13</v>
      </c>
      <c r="D36" s="21" t="s">
        <v>9</v>
      </c>
    </row>
    <row r="37" spans="1:4" ht="15.75">
      <c r="A37" s="35"/>
      <c r="B37" s="35"/>
      <c r="C37" s="35" t="s">
        <v>41</v>
      </c>
      <c r="D37" s="21"/>
    </row>
    <row r="38" spans="1:4" ht="30" customHeight="1">
      <c r="A38" s="48" t="s">
        <v>136</v>
      </c>
      <c r="B38" s="48"/>
      <c r="C38" s="35">
        <v>42376.84</v>
      </c>
      <c r="D38" s="21" t="s">
        <v>9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E10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8515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222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141.7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998.99*12</f>
        <v>11987.88</v>
      </c>
      <c r="D10" s="21" t="s">
        <v>9</v>
      </c>
    </row>
    <row r="11" spans="1:4" ht="15.75">
      <c r="A11" s="10"/>
      <c r="B11" s="13" t="s">
        <v>10</v>
      </c>
      <c r="C11" s="33">
        <v>51.48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12030.5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226.72*12</f>
        <v>2720.64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36.84*12</f>
        <v>442.08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174.29*12</f>
        <v>2091.48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137.45*12</f>
        <v>1649.4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215.38*12</f>
        <v>2584.56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SUM(C24:C27)</f>
        <v>2542.34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486.06</v>
      </c>
      <c r="D24" s="21" t="s">
        <v>9</v>
      </c>
    </row>
    <row r="25" spans="1:4" ht="15.75">
      <c r="A25" s="11"/>
      <c r="B25" s="22" t="s">
        <v>74</v>
      </c>
      <c r="C25" s="23">
        <v>174.43</v>
      </c>
      <c r="D25" s="21" t="s">
        <v>9</v>
      </c>
    </row>
    <row r="26" spans="1:4" ht="15.75">
      <c r="A26" s="11"/>
      <c r="B26" s="22" t="s">
        <v>134</v>
      </c>
      <c r="C26" s="23">
        <v>1749.37</v>
      </c>
      <c r="D26" s="21" t="s">
        <v>9</v>
      </c>
    </row>
    <row r="27" spans="1:4" ht="15.75">
      <c r="A27" s="11"/>
      <c r="B27" s="22" t="s">
        <v>135</v>
      </c>
      <c r="C27" s="17">
        <v>132.48</v>
      </c>
      <c r="D27" s="21" t="s">
        <v>9</v>
      </c>
    </row>
    <row r="28" spans="1:4" ht="15.75">
      <c r="A28" s="11"/>
      <c r="B28" s="22"/>
      <c r="D28" s="21"/>
    </row>
    <row r="29" spans="1:4" ht="15.75">
      <c r="A29" s="11"/>
      <c r="B29" s="22"/>
      <c r="C29" s="17"/>
      <c r="D29" s="21"/>
    </row>
    <row r="30" spans="1:4" ht="15.75">
      <c r="A30" s="6"/>
      <c r="B30" s="7"/>
      <c r="C30" s="7"/>
      <c r="D30" s="21"/>
    </row>
    <row r="31" spans="1:4" ht="15.75">
      <c r="A31" s="35"/>
      <c r="B31" s="44" t="s">
        <v>35</v>
      </c>
      <c r="C31" s="34">
        <f>C10-C12</f>
        <v>-42.62</v>
      </c>
      <c r="D31" s="21" t="s">
        <v>9</v>
      </c>
    </row>
    <row r="32" spans="1:4" ht="15.75">
      <c r="A32" s="35"/>
      <c r="B32" s="35"/>
      <c r="C32" s="35" t="s">
        <v>41</v>
      </c>
      <c r="D32" s="21"/>
    </row>
    <row r="33" spans="1:4" ht="34.5" customHeight="1">
      <c r="A33" s="48" t="s">
        <v>136</v>
      </c>
      <c r="B33" s="48"/>
      <c r="C33" s="34">
        <v>26024</v>
      </c>
      <c r="D33" s="21" t="s">
        <v>9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4">
      <selection activeCell="D12" sqref="D12"/>
    </sheetView>
  </sheetViews>
  <sheetFormatPr defaultColWidth="9.140625" defaultRowHeight="12.75"/>
  <cols>
    <col min="1" max="1" width="7.7109375" style="0" customWidth="1"/>
    <col min="2" max="2" width="58.57421875" style="0" customWidth="1"/>
    <col min="3" max="3" width="15.5742187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49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954.8</v>
      </c>
      <c r="D8" s="20" t="s">
        <v>7</v>
      </c>
    </row>
    <row r="9" spans="1:4" ht="15.75">
      <c r="A9" s="10">
        <v>1</v>
      </c>
      <c r="B9" s="8" t="s">
        <v>8</v>
      </c>
      <c r="C9" s="42"/>
      <c r="D9" s="21"/>
    </row>
    <row r="10" spans="1:4" ht="15.75">
      <c r="A10" s="10"/>
      <c r="B10" s="13" t="s">
        <v>21</v>
      </c>
      <c r="C10" s="33">
        <f>9853.16*4</f>
        <v>39412.64</v>
      </c>
      <c r="D10" s="21" t="s">
        <v>9</v>
      </c>
    </row>
    <row r="11" spans="1:4" ht="15.75">
      <c r="A11" s="10"/>
      <c r="B11" s="13" t="s">
        <v>10</v>
      </c>
      <c r="C11" s="33">
        <v>72.03</v>
      </c>
      <c r="D11" s="21" t="s">
        <v>11</v>
      </c>
    </row>
    <row r="12" spans="1:4" ht="15.75">
      <c r="A12" s="10">
        <v>2</v>
      </c>
      <c r="B12" s="8" t="s">
        <v>12</v>
      </c>
      <c r="C12" s="33">
        <f>SUM(C13:C22)</f>
        <v>56974.88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1527.68*4</f>
        <v>6110.72</v>
      </c>
      <c r="D13" s="21" t="s">
        <v>9</v>
      </c>
    </row>
    <row r="14" spans="1:4" ht="15.75">
      <c r="A14" s="12" t="s">
        <v>25</v>
      </c>
      <c r="B14" s="13" t="s">
        <v>14</v>
      </c>
      <c r="C14" s="14">
        <f>248.25*4</f>
        <v>993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1968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4920</v>
      </c>
      <c r="D16" s="21" t="s">
        <v>9</v>
      </c>
    </row>
    <row r="17" spans="1:4" ht="31.5">
      <c r="A17" s="38" t="s">
        <v>28</v>
      </c>
      <c r="B17" s="13" t="s">
        <v>16</v>
      </c>
      <c r="C17" s="14">
        <v>6683.6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f>926.16*4</f>
        <v>3704.64</v>
      </c>
      <c r="D18" s="21" t="s">
        <v>9</v>
      </c>
    </row>
    <row r="19" spans="1:4" ht="31.5">
      <c r="A19" s="38" t="s">
        <v>30</v>
      </c>
      <c r="B19" s="13" t="s">
        <v>18</v>
      </c>
      <c r="C19" s="14">
        <f>210.06*4</f>
        <v>840.24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1451.3*4</f>
        <v>5805.2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v>25949.48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9" t="s">
        <v>50</v>
      </c>
      <c r="C24" s="16">
        <v>20144</v>
      </c>
      <c r="D24" s="21" t="s">
        <v>9</v>
      </c>
    </row>
    <row r="25" spans="1:4" ht="15.75">
      <c r="A25" s="11"/>
      <c r="B25" s="19" t="s">
        <v>54</v>
      </c>
      <c r="C25" s="16">
        <f>1439.03+719.52</f>
        <v>2158.55</v>
      </c>
      <c r="D25" s="21" t="s">
        <v>9</v>
      </c>
    </row>
    <row r="26" spans="1:4" ht="15.75">
      <c r="A26" s="11"/>
      <c r="B26" s="19" t="s">
        <v>51</v>
      </c>
      <c r="C26" s="16">
        <v>2721.58</v>
      </c>
      <c r="D26" s="21" t="s">
        <v>9</v>
      </c>
    </row>
    <row r="27" spans="1:4" ht="15.75">
      <c r="A27" s="11"/>
      <c r="B27" s="19" t="s">
        <v>52</v>
      </c>
      <c r="C27" s="16">
        <f>244+121.04</f>
        <v>365.04</v>
      </c>
      <c r="D27" s="21" t="s">
        <v>9</v>
      </c>
    </row>
    <row r="28" spans="1:4" ht="15.75">
      <c r="A28" s="11"/>
      <c r="B28" s="22" t="s">
        <v>53</v>
      </c>
      <c r="C28" s="17">
        <v>366.28</v>
      </c>
      <c r="D28" s="21" t="s">
        <v>9</v>
      </c>
    </row>
    <row r="29" spans="1:4" ht="48.75" customHeight="1">
      <c r="A29" s="6"/>
      <c r="B29" s="19" t="s">
        <v>55</v>
      </c>
      <c r="C29" s="17">
        <v>194.03</v>
      </c>
      <c r="D29" s="21" t="s">
        <v>9</v>
      </c>
    </row>
    <row r="30" spans="1:4" ht="15.75">
      <c r="A30" s="6"/>
      <c r="B30" s="19"/>
      <c r="C30" s="17"/>
      <c r="D30" s="21"/>
    </row>
    <row r="31" spans="1:4" ht="15.75">
      <c r="A31" s="6"/>
      <c r="B31" s="19"/>
      <c r="C31" s="17"/>
      <c r="D31" s="21"/>
    </row>
    <row r="32" spans="1:4" ht="15.75">
      <c r="A32" s="35"/>
      <c r="B32" s="44" t="s">
        <v>35</v>
      </c>
      <c r="C32" s="34">
        <f>C10-C12</f>
        <v>-17562.24</v>
      </c>
      <c r="D32" s="21" t="s">
        <v>9</v>
      </c>
    </row>
    <row r="33" spans="1:4" ht="15.75">
      <c r="A33" s="35"/>
      <c r="B33" s="35"/>
      <c r="C33" s="35" t="s">
        <v>41</v>
      </c>
      <c r="D33" s="21"/>
    </row>
    <row r="34" spans="1:4" ht="31.5" customHeight="1">
      <c r="A34" s="48" t="s">
        <v>136</v>
      </c>
      <c r="B34" s="48"/>
      <c r="C34" s="35">
        <v>2066.46</v>
      </c>
      <c r="D34" s="21" t="s">
        <v>9</v>
      </c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4:B34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35" sqref="B35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7.281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1.25" customHeight="1">
      <c r="A5" s="6"/>
      <c r="B5" s="6"/>
      <c r="C5" s="6"/>
      <c r="D5" s="6"/>
    </row>
    <row r="6" spans="1:4" ht="18.75">
      <c r="A6" s="49" t="s">
        <v>223</v>
      </c>
      <c r="B6" s="49"/>
      <c r="C6" s="49"/>
      <c r="D6" s="41"/>
    </row>
    <row r="7" spans="1:4" ht="12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94.8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611.46*12</f>
        <v>7337.52</v>
      </c>
      <c r="D10" s="21" t="s">
        <v>9</v>
      </c>
    </row>
    <row r="11" spans="1:4" ht="15.75">
      <c r="A11" s="10"/>
      <c r="B11" s="13" t="s">
        <v>10</v>
      </c>
      <c r="C11" s="33">
        <v>83.72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7397.08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94.8*12</f>
        <v>1137.6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24.65*12</f>
        <v>295.8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116.6*12</f>
        <v>1399.2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91.96*12</f>
        <v>1103.52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144.1*12</f>
        <v>1729.2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SUM(C24:C26)</f>
        <v>1731.76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486.06</v>
      </c>
      <c r="D24" s="21" t="s">
        <v>9</v>
      </c>
    </row>
    <row r="25" spans="1:4" ht="15.75">
      <c r="A25" s="11"/>
      <c r="B25" s="22" t="s">
        <v>134</v>
      </c>
      <c r="C25" s="23">
        <v>1069.06</v>
      </c>
      <c r="D25" s="21" t="s">
        <v>9</v>
      </c>
    </row>
    <row r="26" spans="1:4" ht="15.75">
      <c r="A26" s="11"/>
      <c r="B26" s="22" t="s">
        <v>135</v>
      </c>
      <c r="C26" s="17">
        <v>176.64</v>
      </c>
      <c r="D26" s="21" t="s">
        <v>9</v>
      </c>
    </row>
    <row r="27" spans="1:4" ht="15.75">
      <c r="A27" s="11"/>
      <c r="B27" s="22"/>
      <c r="D27" s="21"/>
    </row>
    <row r="28" spans="1:4" ht="15.75">
      <c r="A28" s="11"/>
      <c r="B28" s="22"/>
      <c r="C28" s="17"/>
      <c r="D28" s="21"/>
    </row>
    <row r="29" spans="1:4" ht="15.75">
      <c r="A29" s="6"/>
      <c r="B29" s="7"/>
      <c r="C29" s="7"/>
      <c r="D29" s="21"/>
    </row>
    <row r="30" spans="1:4" ht="15.75">
      <c r="A30" s="35"/>
      <c r="B30" s="44" t="s">
        <v>35</v>
      </c>
      <c r="C30" s="34">
        <f>C10-C12</f>
        <v>-59.56</v>
      </c>
      <c r="D30" s="21" t="s">
        <v>9</v>
      </c>
    </row>
    <row r="31" spans="1:4" ht="15.75">
      <c r="A31" s="35"/>
      <c r="B31" s="35"/>
      <c r="C31" s="35" t="s">
        <v>41</v>
      </c>
      <c r="D31" s="21"/>
    </row>
    <row r="32" spans="1:4" ht="32.25" customHeight="1">
      <c r="A32" s="48" t="s">
        <v>136</v>
      </c>
      <c r="B32" s="48"/>
      <c r="C32" s="34">
        <v>0</v>
      </c>
      <c r="D32" s="21" t="s">
        <v>9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4">
      <selection activeCell="E4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140625" style="0" customWidth="1"/>
    <col min="4" max="4" width="6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0.5" customHeight="1">
      <c r="A5" s="6"/>
      <c r="B5" s="6"/>
      <c r="C5" s="6"/>
      <c r="D5" s="6"/>
    </row>
    <row r="6" spans="1:4" ht="18.75">
      <c r="A6" s="49" t="s">
        <v>224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563.35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5182.82*12-3312.48</f>
        <v>58881.36</v>
      </c>
      <c r="D10" s="21" t="s">
        <v>9</v>
      </c>
    </row>
    <row r="11" spans="1:4" ht="15.75">
      <c r="A11" s="10"/>
      <c r="B11" s="13" t="s">
        <v>10</v>
      </c>
      <c r="C11" s="33">
        <v>89.42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58070.55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901.36*12</f>
        <v>10816.32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146.47*12</f>
        <v>1757.64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692.92*12</f>
        <v>8315.04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546.45*12</f>
        <v>6557.4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123.94*12</f>
        <v>1487.28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856.29*12</f>
        <v>10275.48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18861.39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125</v>
      </c>
      <c r="C24" s="16">
        <f>4347+2671</f>
        <v>7018</v>
      </c>
      <c r="D24" s="21" t="s">
        <v>9</v>
      </c>
    </row>
    <row r="25" spans="1:4" ht="15.75">
      <c r="A25" s="11"/>
      <c r="B25" s="22" t="s">
        <v>81</v>
      </c>
      <c r="C25" s="23">
        <v>486.06</v>
      </c>
      <c r="D25" s="21" t="s">
        <v>9</v>
      </c>
    </row>
    <row r="26" spans="1:4" ht="15.75">
      <c r="A26" s="11"/>
      <c r="B26" s="22" t="s">
        <v>72</v>
      </c>
      <c r="C26" s="23">
        <f>2878.06+1090+1439.03</f>
        <v>5407.09</v>
      </c>
      <c r="D26" s="21" t="s">
        <v>9</v>
      </c>
    </row>
    <row r="27" spans="1:4" ht="15.75">
      <c r="A27" s="11"/>
      <c r="B27" s="22" t="s">
        <v>134</v>
      </c>
      <c r="C27" s="23">
        <v>3834.12</v>
      </c>
      <c r="D27" s="21" t="s">
        <v>9</v>
      </c>
    </row>
    <row r="28" spans="1:4" ht="15.75">
      <c r="A28" s="11"/>
      <c r="B28" s="22" t="s">
        <v>135</v>
      </c>
      <c r="C28" s="17">
        <v>971.62</v>
      </c>
      <c r="D28" s="21" t="s">
        <v>9</v>
      </c>
    </row>
    <row r="29" spans="1:4" ht="48" customHeight="1">
      <c r="A29" s="11"/>
      <c r="B29" s="19" t="s">
        <v>87</v>
      </c>
      <c r="C29" s="17">
        <v>1144.5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810.81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2.25" customHeight="1">
      <c r="A35" s="48" t="s">
        <v>136</v>
      </c>
      <c r="B35" s="48"/>
      <c r="C35" s="35">
        <v>15185.76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0">
      <selection activeCell="E10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8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" customHeight="1">
      <c r="A5" s="6"/>
      <c r="B5" s="6"/>
      <c r="C5" s="6"/>
      <c r="D5" s="6"/>
    </row>
    <row r="6" spans="1:4" ht="18.75">
      <c r="A6" s="49" t="s">
        <v>225</v>
      </c>
      <c r="B6" s="49"/>
      <c r="C6" s="49"/>
      <c r="D6" s="41"/>
    </row>
    <row r="7" spans="1:4" ht="9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334.9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3081.08*12-1969.2</f>
        <v>35003.76</v>
      </c>
      <c r="D10" s="21" t="s">
        <v>9</v>
      </c>
    </row>
    <row r="11" spans="1:4" ht="15.75">
      <c r="A11" s="10"/>
      <c r="B11" s="13" t="s">
        <v>10</v>
      </c>
      <c r="C11" s="33">
        <v>82.48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30512.47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535.84*12</f>
        <v>6430.08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87.07*12</f>
        <v>1044.84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3650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411.93*12</f>
        <v>4943.16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324.85*12</f>
        <v>3898.2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73.68*12</f>
        <v>884.16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509.05*12</f>
        <v>6108.6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SUM(C24:C26)</f>
        <v>3553.43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81</v>
      </c>
      <c r="C24" s="23">
        <v>486.06</v>
      </c>
      <c r="D24" s="21" t="s">
        <v>9</v>
      </c>
    </row>
    <row r="25" spans="1:4" ht="15.75">
      <c r="A25" s="11"/>
      <c r="B25" s="22" t="s">
        <v>134</v>
      </c>
      <c r="C25" s="23">
        <v>2404.9</v>
      </c>
      <c r="D25" s="21" t="s">
        <v>9</v>
      </c>
    </row>
    <row r="26" spans="1:4" ht="15.75">
      <c r="A26" s="11"/>
      <c r="B26" s="22" t="s">
        <v>135</v>
      </c>
      <c r="C26" s="17">
        <v>662.47</v>
      </c>
      <c r="D26" s="21" t="s">
        <v>9</v>
      </c>
    </row>
    <row r="27" spans="1:4" ht="15.75">
      <c r="A27" s="11"/>
      <c r="B27" s="22"/>
      <c r="D27" s="21"/>
    </row>
    <row r="28" spans="1:4" ht="15.75">
      <c r="A28" s="11"/>
      <c r="B28" s="22"/>
      <c r="C28" s="17"/>
      <c r="D28" s="21"/>
    </row>
    <row r="29" spans="1:4" ht="15.75">
      <c r="A29" s="6"/>
      <c r="B29" s="7"/>
      <c r="C29" s="7"/>
      <c r="D29" s="21"/>
    </row>
    <row r="30" spans="1:4" ht="15.75">
      <c r="A30" s="35"/>
      <c r="B30" s="44" t="s">
        <v>35</v>
      </c>
      <c r="C30" s="34">
        <f>C10-C12</f>
        <v>4491.29</v>
      </c>
      <c r="D30" s="21" t="s">
        <v>9</v>
      </c>
    </row>
    <row r="31" spans="1:4" ht="15.75">
      <c r="A31" s="35"/>
      <c r="B31" s="35"/>
      <c r="C31" s="35" t="s">
        <v>41</v>
      </c>
      <c r="D31" s="21"/>
    </row>
    <row r="32" spans="1:4" ht="29.25" customHeight="1">
      <c r="A32" s="48" t="s">
        <v>136</v>
      </c>
      <c r="B32" s="48"/>
      <c r="C32" s="35">
        <v>14719.81</v>
      </c>
      <c r="D32" s="21" t="s">
        <v>9</v>
      </c>
    </row>
    <row r="33" spans="1:4" ht="15.75">
      <c r="A33" s="6"/>
      <c r="B33" s="6"/>
      <c r="C33" s="6"/>
      <c r="D33" s="6"/>
    </row>
    <row r="34" spans="1:4" ht="15.75">
      <c r="A34" s="6"/>
      <c r="B34" s="6"/>
      <c r="C34" s="6"/>
      <c r="D34" s="6"/>
    </row>
  </sheetData>
  <mergeCells count="7">
    <mergeCell ref="A6:C6"/>
    <mergeCell ref="A8:B8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3">
      <selection activeCell="E13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28125" style="0" customWidth="1"/>
    <col min="4" max="4" width="6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.75" customHeight="1">
      <c r="A5" s="6"/>
      <c r="B5" s="6"/>
      <c r="C5" s="6"/>
      <c r="D5" s="6"/>
    </row>
    <row r="6" spans="1:4" ht="18.75">
      <c r="A6" s="49" t="s">
        <v>226</v>
      </c>
      <c r="B6" s="49"/>
      <c r="C6" s="49"/>
      <c r="D6" s="41"/>
    </row>
    <row r="7" spans="1:4" ht="11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251.9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1775.9*12</f>
        <v>21310.8</v>
      </c>
      <c r="D10" s="21" t="s">
        <v>9</v>
      </c>
    </row>
    <row r="11" spans="1:4" ht="15.75">
      <c r="A11" s="10"/>
      <c r="B11" s="13" t="s">
        <v>10</v>
      </c>
      <c r="C11" s="33">
        <v>69.52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34723.31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403.04*12</f>
        <v>4836.48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65.49*12</f>
        <v>785.88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309.84*12</f>
        <v>3718.08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244.34*12</f>
        <v>2932.08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382.89*12</f>
        <v>4594.68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SUM(C24:C33)</f>
        <v>17856.11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31.5">
      <c r="A24" s="12"/>
      <c r="B24" s="19" t="s">
        <v>227</v>
      </c>
      <c r="C24" s="16">
        <v>587</v>
      </c>
      <c r="D24" s="21" t="s">
        <v>9</v>
      </c>
    </row>
    <row r="25" spans="1:4" ht="15.75">
      <c r="A25" s="12"/>
      <c r="B25" s="19" t="s">
        <v>147</v>
      </c>
      <c r="C25" s="16">
        <v>3812</v>
      </c>
      <c r="D25" s="21" t="s">
        <v>9</v>
      </c>
    </row>
    <row r="26" spans="1:4" ht="15.75">
      <c r="A26" s="12"/>
      <c r="B26" s="19" t="s">
        <v>79</v>
      </c>
      <c r="C26" s="16">
        <v>7855</v>
      </c>
      <c r="D26" s="21" t="s">
        <v>9</v>
      </c>
    </row>
    <row r="27" spans="1:4" ht="15.75">
      <c r="A27" s="11"/>
      <c r="B27" s="22" t="s">
        <v>228</v>
      </c>
      <c r="C27" s="23">
        <v>2616.42</v>
      </c>
      <c r="D27" s="21" t="s">
        <v>9</v>
      </c>
    </row>
    <row r="28" spans="1:4" ht="15.75">
      <c r="A28" s="11"/>
      <c r="B28" s="22" t="s">
        <v>81</v>
      </c>
      <c r="C28" s="23">
        <v>486.06</v>
      </c>
      <c r="D28" s="21" t="s">
        <v>9</v>
      </c>
    </row>
    <row r="29" spans="1:4" ht="15.75">
      <c r="A29" s="11"/>
      <c r="B29" s="22" t="s">
        <v>74</v>
      </c>
      <c r="C29" s="23">
        <v>697.72</v>
      </c>
      <c r="D29" s="21" t="s">
        <v>9</v>
      </c>
    </row>
    <row r="30" spans="1:4" ht="15.75">
      <c r="A30" s="11"/>
      <c r="B30" s="22" t="s">
        <v>91</v>
      </c>
      <c r="C30" s="23">
        <v>175.44</v>
      </c>
      <c r="D30" s="21" t="s">
        <v>9</v>
      </c>
    </row>
    <row r="31" spans="1:4" ht="15.75">
      <c r="A31" s="11"/>
      <c r="B31" s="22" t="s">
        <v>134</v>
      </c>
      <c r="C31" s="23">
        <v>1090.02</v>
      </c>
      <c r="D31" s="21" t="s">
        <v>9</v>
      </c>
    </row>
    <row r="32" spans="1:4" ht="15.75">
      <c r="A32" s="11"/>
      <c r="B32" s="22" t="s">
        <v>135</v>
      </c>
      <c r="C32" s="17">
        <v>353.31</v>
      </c>
      <c r="D32" s="21" t="s">
        <v>9</v>
      </c>
    </row>
    <row r="33" spans="1:4" ht="15.75">
      <c r="A33" s="11"/>
      <c r="B33" s="22" t="s">
        <v>75</v>
      </c>
      <c r="C33" s="17">
        <v>183.14</v>
      </c>
      <c r="D33" s="21" t="s">
        <v>9</v>
      </c>
    </row>
    <row r="34" spans="1:4" ht="15.75">
      <c r="A34" s="11"/>
      <c r="B34" s="22"/>
      <c r="D34" s="21"/>
    </row>
    <row r="35" spans="1:4" ht="15.75">
      <c r="A35" s="11"/>
      <c r="B35" s="22"/>
      <c r="C35" s="17"/>
      <c r="D35" s="21"/>
    </row>
    <row r="36" spans="1:4" ht="15.75">
      <c r="A36" s="6"/>
      <c r="B36" s="7"/>
      <c r="C36" s="7"/>
      <c r="D36" s="21"/>
    </row>
    <row r="37" spans="1:4" ht="15.75">
      <c r="A37" s="35"/>
      <c r="B37" s="44" t="s">
        <v>35</v>
      </c>
      <c r="C37" s="34">
        <f>C10-C12</f>
        <v>-13412.51</v>
      </c>
      <c r="D37" s="21" t="s">
        <v>9</v>
      </c>
    </row>
    <row r="38" spans="1:4" ht="15.75">
      <c r="A38" s="35"/>
      <c r="B38" s="35"/>
      <c r="C38" s="35" t="s">
        <v>41</v>
      </c>
      <c r="D38" s="21"/>
    </row>
    <row r="39" spans="1:4" ht="33.75" customHeight="1">
      <c r="A39" s="48" t="s">
        <v>136</v>
      </c>
      <c r="B39" s="48"/>
      <c r="C39" s="35">
        <v>22709.66</v>
      </c>
      <c r="D39" s="21" t="s">
        <v>9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E4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8515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.75" customHeight="1">
      <c r="A5" s="6"/>
      <c r="B5" s="6"/>
      <c r="C5" s="6"/>
      <c r="D5" s="6"/>
    </row>
    <row r="6" spans="1:4" ht="18.75">
      <c r="A6" s="49" t="s">
        <v>229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2007.4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20716.37*12</f>
        <v>248596.44</v>
      </c>
      <c r="D10" s="21" t="s">
        <v>9</v>
      </c>
    </row>
    <row r="11" spans="1:4" ht="15.75">
      <c r="A11" s="10"/>
      <c r="B11" s="13" t="s">
        <v>10</v>
      </c>
      <c r="C11" s="33">
        <v>84.37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255657.19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3211.84*12</f>
        <v>38542.08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521.92*12</f>
        <v>6263.04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10080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13104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3593.25*12</f>
        <v>43119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1947.18*12</f>
        <v>23366.16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441.63*12</f>
        <v>5299.56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3051.25*12</f>
        <v>36615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SUM(C24:C41)</f>
        <v>79268.35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2051.31</v>
      </c>
      <c r="D24" s="21" t="s">
        <v>9</v>
      </c>
    </row>
    <row r="25" spans="1:4" ht="15.75">
      <c r="A25" s="12"/>
      <c r="B25" s="18" t="s">
        <v>230</v>
      </c>
      <c r="C25" s="28">
        <v>1672</v>
      </c>
      <c r="D25" s="21" t="s">
        <v>9</v>
      </c>
    </row>
    <row r="26" spans="1:4" ht="15.75">
      <c r="A26" s="12"/>
      <c r="B26" s="19" t="s">
        <v>89</v>
      </c>
      <c r="C26" s="16">
        <f>2225+6940</f>
        <v>9165</v>
      </c>
      <c r="D26" s="21" t="s">
        <v>9</v>
      </c>
    </row>
    <row r="27" spans="1:4" ht="15.75">
      <c r="A27" s="12"/>
      <c r="B27" s="19" t="s">
        <v>147</v>
      </c>
      <c r="C27" s="16">
        <v>3413.76</v>
      </c>
      <c r="D27" s="21" t="s">
        <v>9</v>
      </c>
    </row>
    <row r="28" spans="1:4" ht="15.75">
      <c r="A28" s="12"/>
      <c r="B28" s="19" t="s">
        <v>234</v>
      </c>
      <c r="C28" s="16">
        <v>3090</v>
      </c>
      <c r="D28" s="21" t="s">
        <v>9</v>
      </c>
    </row>
    <row r="29" spans="1:4" ht="15.75">
      <c r="A29" s="11"/>
      <c r="B29" s="22" t="s">
        <v>231</v>
      </c>
      <c r="C29" s="23">
        <f>348.86+2159</f>
        <v>2507.86</v>
      </c>
      <c r="D29" s="21" t="s">
        <v>9</v>
      </c>
    </row>
    <row r="30" spans="1:4" ht="15.75">
      <c r="A30" s="11"/>
      <c r="B30" s="22" t="s">
        <v>233</v>
      </c>
      <c r="C30" s="23">
        <v>3030</v>
      </c>
      <c r="D30" s="21" t="s">
        <v>9</v>
      </c>
    </row>
    <row r="31" spans="1:4" ht="15.75">
      <c r="A31" s="11"/>
      <c r="B31" s="22" t="s">
        <v>37</v>
      </c>
      <c r="C31" s="23">
        <v>1092</v>
      </c>
      <c r="D31" s="21" t="s">
        <v>9</v>
      </c>
    </row>
    <row r="32" spans="1:4" ht="15.75">
      <c r="A32" s="11"/>
      <c r="B32" s="19" t="s">
        <v>48</v>
      </c>
      <c r="C32" s="23">
        <v>2394</v>
      </c>
      <c r="D32" s="21" t="s">
        <v>9</v>
      </c>
    </row>
    <row r="33" spans="1:4" ht="15.75">
      <c r="A33" s="11"/>
      <c r="B33" s="22" t="s">
        <v>61</v>
      </c>
      <c r="C33" s="23">
        <f>3309+928.54</f>
        <v>4237.54</v>
      </c>
      <c r="D33" s="21" t="s">
        <v>9</v>
      </c>
    </row>
    <row r="34" spans="1:4" ht="15.75">
      <c r="A34" s="11"/>
      <c r="B34" s="22" t="s">
        <v>72</v>
      </c>
      <c r="C34" s="23">
        <f>2158.56+2878.06+1439.03+2878.06</f>
        <v>9353.71</v>
      </c>
      <c r="D34" s="21" t="s">
        <v>9</v>
      </c>
    </row>
    <row r="35" spans="1:4" ht="15.75">
      <c r="A35" s="11"/>
      <c r="B35" s="22" t="s">
        <v>91</v>
      </c>
      <c r="C35" s="23">
        <f>1169.6+1218.51</f>
        <v>2388.11</v>
      </c>
      <c r="D35" s="21" t="s">
        <v>9</v>
      </c>
    </row>
    <row r="36" spans="1:4" ht="15.75">
      <c r="A36" s="11"/>
      <c r="B36" s="22" t="s">
        <v>232</v>
      </c>
      <c r="C36" s="23">
        <f>8067.5+3357.7</f>
        <v>11425.2</v>
      </c>
      <c r="D36" s="21" t="s">
        <v>9</v>
      </c>
    </row>
    <row r="37" spans="1:4" ht="15.75">
      <c r="A37" s="11"/>
      <c r="B37" s="22" t="s">
        <v>134</v>
      </c>
      <c r="C37" s="23">
        <v>16428.41</v>
      </c>
      <c r="D37" s="21" t="s">
        <v>9</v>
      </c>
    </row>
    <row r="38" spans="1:4" ht="15.75">
      <c r="A38" s="11"/>
      <c r="B38" s="22" t="s">
        <v>135</v>
      </c>
      <c r="C38" s="17">
        <v>3798.11</v>
      </c>
      <c r="D38" s="21" t="s">
        <v>9</v>
      </c>
    </row>
    <row r="39" spans="1:4" ht="15.75">
      <c r="A39" s="11"/>
      <c r="B39" s="22" t="s">
        <v>93</v>
      </c>
      <c r="C39" s="17"/>
      <c r="D39" s="21" t="s">
        <v>9</v>
      </c>
    </row>
    <row r="40" spans="1:4" ht="15.75">
      <c r="A40" s="11"/>
      <c r="B40" s="22" t="s">
        <v>75</v>
      </c>
      <c r="C40" s="17">
        <v>366.28</v>
      </c>
      <c r="D40" s="21" t="s">
        <v>9</v>
      </c>
    </row>
    <row r="41" spans="1:4" ht="47.25" customHeight="1">
      <c r="A41" s="11"/>
      <c r="B41" s="19" t="s">
        <v>87</v>
      </c>
      <c r="C41" s="17">
        <v>2855.06</v>
      </c>
      <c r="D41" s="21" t="s">
        <v>9</v>
      </c>
    </row>
    <row r="42" spans="1:4" ht="15.75">
      <c r="A42" s="11"/>
      <c r="B42" s="22"/>
      <c r="D42" s="21"/>
    </row>
    <row r="43" spans="1:4" ht="15.75">
      <c r="A43" s="6"/>
      <c r="B43" s="7"/>
      <c r="C43" s="7"/>
      <c r="D43" s="21"/>
    </row>
    <row r="44" spans="1:4" ht="15.75">
      <c r="A44" s="35"/>
      <c r="B44" s="44" t="s">
        <v>35</v>
      </c>
      <c r="C44" s="34">
        <f>C10-C12</f>
        <v>-7060.75</v>
      </c>
      <c r="D44" s="21" t="s">
        <v>9</v>
      </c>
    </row>
    <row r="45" spans="1:4" ht="15.75">
      <c r="A45" s="35"/>
      <c r="B45" s="35"/>
      <c r="C45" s="35" t="s">
        <v>41</v>
      </c>
      <c r="D45" s="21"/>
    </row>
    <row r="46" spans="1:4" ht="30" customHeight="1">
      <c r="A46" s="48" t="s">
        <v>136</v>
      </c>
      <c r="B46" s="48"/>
      <c r="C46" s="35">
        <v>27272.52</v>
      </c>
      <c r="D46" s="21" t="s">
        <v>9</v>
      </c>
    </row>
    <row r="47" spans="1:4" ht="15.75">
      <c r="A47" s="6"/>
      <c r="B47" s="6"/>
      <c r="C47" s="6"/>
      <c r="D47" s="6"/>
    </row>
    <row r="48" spans="1:4" ht="15.75">
      <c r="A48" s="6"/>
      <c r="B48" s="6"/>
      <c r="C48" s="6"/>
      <c r="D48" s="6"/>
    </row>
  </sheetData>
  <mergeCells count="7">
    <mergeCell ref="A6:C6"/>
    <mergeCell ref="A8:B8"/>
    <mergeCell ref="A46:B46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00390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4.5" customHeight="1">
      <c r="A5" s="6"/>
      <c r="B5" s="6"/>
      <c r="C5" s="6"/>
      <c r="D5" s="6"/>
    </row>
    <row r="6" spans="1:4" ht="18.75">
      <c r="A6" s="49" t="s">
        <v>235</v>
      </c>
      <c r="B6" s="49"/>
      <c r="C6" s="49"/>
      <c r="D6" s="41"/>
    </row>
    <row r="7" spans="1:4" ht="5.2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2551.6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26332.51*12-3750.84</f>
        <v>312239.28</v>
      </c>
      <c r="D10" s="21" t="s">
        <v>9</v>
      </c>
    </row>
    <row r="11" spans="1:4" ht="15.75">
      <c r="A11" s="10"/>
      <c r="B11" s="13" t="s">
        <v>10</v>
      </c>
      <c r="C11" s="33">
        <v>86.66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349679.18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4082.56*12</f>
        <v>48990.72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663.42*12</f>
        <v>7961.04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10800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26481.6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4567.36*12</f>
        <v>54808.32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2475.05*12</f>
        <v>29700.6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561.35*12</f>
        <v>6736.2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3878.43*12</f>
        <v>46541.16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SUM(C24:C45)</f>
        <v>117659.54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3551.32</v>
      </c>
      <c r="D24" s="21" t="s">
        <v>9</v>
      </c>
    </row>
    <row r="25" spans="1:4" ht="15.75">
      <c r="A25" s="12"/>
      <c r="B25" s="18" t="s">
        <v>236</v>
      </c>
      <c r="C25" s="45">
        <v>18937</v>
      </c>
      <c r="D25" s="21" t="s">
        <v>9</v>
      </c>
    </row>
    <row r="26" spans="1:4" ht="15.75">
      <c r="A26" s="12"/>
      <c r="B26" s="19" t="s">
        <v>125</v>
      </c>
      <c r="C26" s="16">
        <v>6229</v>
      </c>
      <c r="D26" s="21" t="s">
        <v>9</v>
      </c>
    </row>
    <row r="27" spans="1:4" ht="15.75">
      <c r="A27" s="12"/>
      <c r="B27" s="19" t="s">
        <v>85</v>
      </c>
      <c r="C27" s="16">
        <f>2310.8+10088</f>
        <v>12398.8</v>
      </c>
      <c r="D27" s="21" t="s">
        <v>9</v>
      </c>
    </row>
    <row r="28" spans="1:4" ht="15.75">
      <c r="A28" s="12"/>
      <c r="B28" s="19" t="s">
        <v>241</v>
      </c>
      <c r="C28" s="16">
        <v>2445</v>
      </c>
      <c r="D28" s="21" t="s">
        <v>9</v>
      </c>
    </row>
    <row r="29" spans="1:4" ht="15.75">
      <c r="A29" s="11"/>
      <c r="B29" s="22" t="s">
        <v>80</v>
      </c>
      <c r="C29" s="23">
        <v>31873</v>
      </c>
      <c r="D29" s="21" t="s">
        <v>9</v>
      </c>
    </row>
    <row r="30" spans="1:4" ht="15.75">
      <c r="A30" s="11"/>
      <c r="B30" s="22" t="s">
        <v>237</v>
      </c>
      <c r="C30" s="23">
        <v>1257</v>
      </c>
      <c r="D30" s="21" t="s">
        <v>9</v>
      </c>
    </row>
    <row r="31" spans="1:4" ht="15.75">
      <c r="A31" s="11"/>
      <c r="B31" s="22" t="s">
        <v>238</v>
      </c>
      <c r="C31" s="23">
        <v>265</v>
      </c>
      <c r="D31" s="21" t="s">
        <v>9</v>
      </c>
    </row>
    <row r="32" spans="1:4" ht="15.75">
      <c r="A32" s="11"/>
      <c r="B32" s="22" t="s">
        <v>67</v>
      </c>
      <c r="C32" s="23">
        <v>1719.5</v>
      </c>
      <c r="D32" s="21" t="s">
        <v>9</v>
      </c>
    </row>
    <row r="33" spans="1:4" ht="15.75">
      <c r="A33" s="11"/>
      <c r="B33" s="22" t="s">
        <v>239</v>
      </c>
      <c r="C33" s="23">
        <v>511</v>
      </c>
      <c r="D33" s="21" t="s">
        <v>9</v>
      </c>
    </row>
    <row r="34" spans="1:4" ht="15.75">
      <c r="A34" s="11"/>
      <c r="B34" s="22" t="s">
        <v>240</v>
      </c>
      <c r="C34" s="23">
        <v>1876</v>
      </c>
      <c r="D34" s="21" t="s">
        <v>9</v>
      </c>
    </row>
    <row r="35" spans="1:4" ht="15.75">
      <c r="A35" s="11"/>
      <c r="B35" s="22" t="s">
        <v>82</v>
      </c>
      <c r="C35" s="23">
        <v>707</v>
      </c>
      <c r="D35" s="21" t="s">
        <v>9</v>
      </c>
    </row>
    <row r="36" spans="1:4" ht="15.75">
      <c r="A36" s="11"/>
      <c r="B36" s="22" t="s">
        <v>140</v>
      </c>
      <c r="C36" s="23">
        <v>674</v>
      </c>
      <c r="D36" s="21" t="s">
        <v>9</v>
      </c>
    </row>
    <row r="37" spans="1:4" ht="15.75">
      <c r="A37" s="11"/>
      <c r="B37" s="22" t="s">
        <v>37</v>
      </c>
      <c r="C37" s="23">
        <v>432</v>
      </c>
      <c r="D37" s="21" t="s">
        <v>9</v>
      </c>
    </row>
    <row r="38" spans="1:4" ht="15.75">
      <c r="A38" s="11"/>
      <c r="B38" s="22" t="s">
        <v>61</v>
      </c>
      <c r="C38" s="23">
        <v>827.25</v>
      </c>
      <c r="D38" s="21" t="s">
        <v>9</v>
      </c>
    </row>
    <row r="39" spans="1:4" ht="15.75">
      <c r="A39" s="11"/>
      <c r="B39" s="22" t="s">
        <v>72</v>
      </c>
      <c r="C39" s="23">
        <v>4317.09</v>
      </c>
      <c r="D39" s="21" t="s">
        <v>9</v>
      </c>
    </row>
    <row r="40" spans="1:4" ht="15.75">
      <c r="A40" s="11"/>
      <c r="B40" s="22" t="s">
        <v>74</v>
      </c>
      <c r="C40" s="23">
        <v>1569.87</v>
      </c>
      <c r="D40" s="21" t="s">
        <v>9</v>
      </c>
    </row>
    <row r="41" spans="1:4" ht="15.75">
      <c r="A41" s="11"/>
      <c r="B41" s="22" t="s">
        <v>91</v>
      </c>
      <c r="C41" s="23">
        <v>233.92</v>
      </c>
      <c r="D41" s="21" t="s">
        <v>9</v>
      </c>
    </row>
    <row r="42" spans="1:4" ht="15.75">
      <c r="A42" s="11"/>
      <c r="B42" s="22" t="s">
        <v>134</v>
      </c>
      <c r="C42" s="23">
        <v>21078.14</v>
      </c>
      <c r="D42" s="21" t="s">
        <v>9</v>
      </c>
    </row>
    <row r="43" spans="1:4" ht="15.75">
      <c r="A43" s="11"/>
      <c r="B43" s="22" t="s">
        <v>135</v>
      </c>
      <c r="C43" s="17">
        <v>5078.86</v>
      </c>
      <c r="D43" s="21" t="s">
        <v>9</v>
      </c>
    </row>
    <row r="44" spans="1:4" ht="15.75">
      <c r="A44" s="11"/>
      <c r="B44" s="22" t="s">
        <v>75</v>
      </c>
      <c r="C44" s="17">
        <v>640.99</v>
      </c>
      <c r="D44" s="21" t="s">
        <v>9</v>
      </c>
    </row>
    <row r="45" spans="1:4" ht="48" customHeight="1">
      <c r="A45" s="11"/>
      <c r="B45" s="19" t="s">
        <v>87</v>
      </c>
      <c r="C45" s="17">
        <v>1037.8</v>
      </c>
      <c r="D45" s="21" t="s">
        <v>9</v>
      </c>
    </row>
    <row r="46" spans="1:4" ht="11.25" customHeight="1">
      <c r="A46" s="6"/>
      <c r="B46" s="7"/>
      <c r="C46" s="7"/>
      <c r="D46" s="21"/>
    </row>
    <row r="47" spans="1:4" ht="15.75">
      <c r="A47" s="35"/>
      <c r="B47" s="44" t="s">
        <v>35</v>
      </c>
      <c r="C47" s="34">
        <f>C10-C12</f>
        <v>-37439.9</v>
      </c>
      <c r="D47" s="21" t="s">
        <v>9</v>
      </c>
    </row>
    <row r="48" spans="1:4" ht="9.75" customHeight="1">
      <c r="A48" s="35"/>
      <c r="B48" s="35"/>
      <c r="C48" s="35" t="s">
        <v>41</v>
      </c>
      <c r="D48" s="21"/>
    </row>
    <row r="49" spans="1:4" ht="30" customHeight="1">
      <c r="A49" s="48" t="s">
        <v>136</v>
      </c>
      <c r="B49" s="48"/>
      <c r="C49" s="35">
        <v>67851.37</v>
      </c>
      <c r="D49" s="21" t="s">
        <v>9</v>
      </c>
    </row>
    <row r="50" spans="1:4" ht="15.75">
      <c r="A50" s="6"/>
      <c r="B50" s="6"/>
      <c r="C50" s="6"/>
      <c r="D50" s="6"/>
    </row>
    <row r="51" spans="1:4" ht="15.75">
      <c r="A51" s="6"/>
      <c r="B51" s="6"/>
      <c r="C51" s="6"/>
      <c r="D51" s="6"/>
    </row>
  </sheetData>
  <mergeCells count="7">
    <mergeCell ref="A6:C6"/>
    <mergeCell ref="A8:B8"/>
    <mergeCell ref="A49:B49"/>
    <mergeCell ref="A1:C1"/>
    <mergeCell ref="A2:C2"/>
    <mergeCell ref="A3:C3"/>
    <mergeCell ref="A4:C4"/>
  </mergeCells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4.421875" style="0" customWidth="1"/>
    <col min="4" max="4" width="6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.75" customHeight="1">
      <c r="A5" s="6"/>
      <c r="B5" s="6"/>
      <c r="C5" s="6"/>
      <c r="D5" s="6"/>
    </row>
    <row r="6" spans="1:4" ht="18.75">
      <c r="A6" s="49" t="s">
        <v>242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1906.06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19670.54*12-2801.91</f>
        <v>233244.57</v>
      </c>
      <c r="D10" s="21" t="s">
        <v>9</v>
      </c>
    </row>
    <row r="11" spans="1:4" ht="15.75">
      <c r="A11" s="10"/>
      <c r="B11" s="13" t="s">
        <v>10</v>
      </c>
      <c r="C11" s="33">
        <v>90.15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352111.42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3049.7*12</f>
        <v>36596.4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495.58*12</f>
        <v>5946.96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7560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13104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3411.85*12</f>
        <v>40942.2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1848.88*12</f>
        <v>22186.56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419.33*12</f>
        <v>5031.96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2897.21*12</f>
        <v>34766.52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SUM(C24:C35)</f>
        <v>185976.82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2268.14</v>
      </c>
      <c r="D24" s="21" t="s">
        <v>9</v>
      </c>
    </row>
    <row r="25" spans="1:4" ht="14.25" customHeight="1">
      <c r="A25" s="12"/>
      <c r="B25" s="19" t="s">
        <v>147</v>
      </c>
      <c r="C25" s="16">
        <f>487.68+1927.12</f>
        <v>2414.8</v>
      </c>
      <c r="D25" s="21" t="s">
        <v>9</v>
      </c>
    </row>
    <row r="26" spans="1:4" ht="14.25" customHeight="1">
      <c r="A26" s="12"/>
      <c r="B26" s="19" t="s">
        <v>245</v>
      </c>
      <c r="C26" s="16">
        <v>2311.17</v>
      </c>
      <c r="D26" s="21" t="s">
        <v>9</v>
      </c>
    </row>
    <row r="27" spans="1:4" ht="15.75">
      <c r="A27" s="11"/>
      <c r="B27" s="22" t="s">
        <v>67</v>
      </c>
      <c r="C27" s="23">
        <v>452.5</v>
      </c>
      <c r="D27" s="21" t="s">
        <v>9</v>
      </c>
    </row>
    <row r="28" spans="1:4" ht="15.75">
      <c r="A28" s="11"/>
      <c r="B28" s="22" t="s">
        <v>287</v>
      </c>
      <c r="C28" s="23">
        <v>218</v>
      </c>
      <c r="D28" s="21" t="s">
        <v>9</v>
      </c>
    </row>
    <row r="29" spans="1:4" ht="15.75">
      <c r="A29" s="11"/>
      <c r="B29" s="22" t="s">
        <v>246</v>
      </c>
      <c r="C29" s="23">
        <v>218</v>
      </c>
      <c r="D29" s="21" t="s">
        <v>9</v>
      </c>
    </row>
    <row r="30" spans="1:4" ht="15.75">
      <c r="A30" s="11"/>
      <c r="B30" s="22" t="s">
        <v>81</v>
      </c>
      <c r="C30" s="23">
        <v>302.86</v>
      </c>
      <c r="D30" s="21" t="s">
        <v>9</v>
      </c>
    </row>
    <row r="31" spans="1:4" ht="15.75">
      <c r="A31" s="11"/>
      <c r="B31" s="19" t="s">
        <v>48</v>
      </c>
      <c r="C31" s="23">
        <v>5586</v>
      </c>
      <c r="D31" s="21" t="s">
        <v>9</v>
      </c>
    </row>
    <row r="32" spans="1:4" ht="15.75">
      <c r="A32" s="11"/>
      <c r="B32" s="22" t="s">
        <v>72</v>
      </c>
      <c r="C32" s="23">
        <f>719.5+4317.09+2158.56+4317.09+1439.03+1962</f>
        <v>14913.27</v>
      </c>
      <c r="D32" s="21" t="s">
        <v>9</v>
      </c>
    </row>
    <row r="33" spans="1:4" ht="15.75">
      <c r="A33" s="11"/>
      <c r="B33" s="22" t="s">
        <v>134</v>
      </c>
      <c r="C33" s="23">
        <v>16378.86</v>
      </c>
      <c r="D33" s="21" t="s">
        <v>9</v>
      </c>
    </row>
    <row r="34" spans="1:4" ht="15.75">
      <c r="A34" s="11"/>
      <c r="B34" s="22" t="s">
        <v>135</v>
      </c>
      <c r="C34" s="17">
        <v>3842.28</v>
      </c>
      <c r="D34" s="21" t="s">
        <v>9</v>
      </c>
    </row>
    <row r="35" spans="1:4" ht="49.5" customHeight="1">
      <c r="A35" s="11"/>
      <c r="B35" s="19" t="s">
        <v>87</v>
      </c>
      <c r="C35" s="17">
        <f>93621+37424+6025.94</f>
        <v>137070.94</v>
      </c>
      <c r="D35" s="21" t="s">
        <v>9</v>
      </c>
    </row>
    <row r="36" spans="1:4" ht="15.75">
      <c r="A36" s="11"/>
      <c r="B36" s="22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-118866.85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35.25" customHeight="1">
      <c r="A40" s="48" t="s">
        <v>136</v>
      </c>
      <c r="B40" s="48"/>
      <c r="C40" s="35">
        <v>36641.71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6.8515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243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2543.5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26248.92*12-3738.96</f>
        <v>311248.08</v>
      </c>
      <c r="D10" s="21" t="s">
        <v>9</v>
      </c>
    </row>
    <row r="11" spans="1:4" ht="15.75">
      <c r="A11" s="10"/>
      <c r="B11" s="13" t="s">
        <v>10</v>
      </c>
      <c r="C11" s="33">
        <v>85.41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354815.77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4069.6*12</f>
        <v>48835.2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661.31*12</f>
        <v>7935.72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8100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10512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4552.87*12</f>
        <v>54634.44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2467.2*12</f>
        <v>29606.4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559.57*12</f>
        <v>6714.84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3866.12*12</f>
        <v>46393.44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SUM(C24:C41)</f>
        <v>142083.73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2012.09</v>
      </c>
      <c r="D24" s="21" t="s">
        <v>9</v>
      </c>
    </row>
    <row r="25" spans="1:4" ht="15.75">
      <c r="A25" s="12"/>
      <c r="B25" s="18" t="s">
        <v>244</v>
      </c>
      <c r="C25" s="28">
        <v>3684.89</v>
      </c>
      <c r="D25" s="21" t="s">
        <v>9</v>
      </c>
    </row>
    <row r="26" spans="1:4" ht="15.75">
      <c r="A26" s="12"/>
      <c r="B26" s="19" t="s">
        <v>89</v>
      </c>
      <c r="C26" s="16">
        <v>8968</v>
      </c>
      <c r="D26" s="21" t="s">
        <v>9</v>
      </c>
    </row>
    <row r="27" spans="1:4" ht="15.75">
      <c r="A27" s="12"/>
      <c r="B27" s="19" t="s">
        <v>85</v>
      </c>
      <c r="C27" s="16">
        <f>1351.6+2328</f>
        <v>3679.6</v>
      </c>
      <c r="D27" s="21" t="s">
        <v>9</v>
      </c>
    </row>
    <row r="28" spans="1:4" ht="15.75">
      <c r="A28" s="12"/>
      <c r="B28" s="19" t="s">
        <v>147</v>
      </c>
      <c r="C28" s="16">
        <v>3108.96</v>
      </c>
      <c r="D28" s="21" t="s">
        <v>9</v>
      </c>
    </row>
    <row r="29" spans="1:4" ht="15.75">
      <c r="A29" s="11"/>
      <c r="B29" s="22" t="s">
        <v>80</v>
      </c>
      <c r="C29" s="23">
        <v>62057</v>
      </c>
      <c r="D29" s="21" t="s">
        <v>9</v>
      </c>
    </row>
    <row r="30" spans="1:4" ht="15.75">
      <c r="A30" s="11"/>
      <c r="B30" s="22" t="s">
        <v>66</v>
      </c>
      <c r="C30" s="23">
        <v>660</v>
      </c>
      <c r="D30" s="21" t="s">
        <v>9</v>
      </c>
    </row>
    <row r="31" spans="1:4" ht="15.75">
      <c r="A31" s="11"/>
      <c r="B31" s="22" t="s">
        <v>247</v>
      </c>
      <c r="C31" s="23">
        <v>2721.58</v>
      </c>
      <c r="D31" s="21" t="s">
        <v>9</v>
      </c>
    </row>
    <row r="32" spans="1:4" ht="15.75">
      <c r="A32" s="11"/>
      <c r="B32" s="22" t="s">
        <v>81</v>
      </c>
      <c r="C32" s="23">
        <v>572</v>
      </c>
      <c r="D32" s="21" t="s">
        <v>9</v>
      </c>
    </row>
    <row r="33" spans="1:4" ht="15.75">
      <c r="A33" s="11"/>
      <c r="B33" s="22" t="s">
        <v>37</v>
      </c>
      <c r="C33" s="23">
        <v>360</v>
      </c>
      <c r="D33" s="21" t="s">
        <v>9</v>
      </c>
    </row>
    <row r="34" spans="1:4" ht="15.75">
      <c r="A34" s="11"/>
      <c r="B34" s="19" t="s">
        <v>48</v>
      </c>
      <c r="C34" s="23">
        <v>1596</v>
      </c>
      <c r="D34" s="21" t="s">
        <v>9</v>
      </c>
    </row>
    <row r="35" spans="1:4" ht="15.75">
      <c r="A35" s="11"/>
      <c r="B35" s="22" t="s">
        <v>61</v>
      </c>
      <c r="C35" s="23">
        <f>3309+2785.62</f>
        <v>6094.62</v>
      </c>
      <c r="D35" s="21" t="s">
        <v>9</v>
      </c>
    </row>
    <row r="36" spans="1:4" ht="15.75">
      <c r="A36" s="11"/>
      <c r="B36" s="22" t="s">
        <v>72</v>
      </c>
      <c r="C36" s="23">
        <f>1439.04+4317.09</f>
        <v>5756.13</v>
      </c>
      <c r="D36" s="21" t="s">
        <v>9</v>
      </c>
    </row>
    <row r="37" spans="1:4" ht="15.75">
      <c r="A37" s="11"/>
      <c r="B37" s="22" t="s">
        <v>91</v>
      </c>
      <c r="C37" s="23">
        <f>584.8+812.34</f>
        <v>1397.14</v>
      </c>
      <c r="D37" s="21" t="s">
        <v>9</v>
      </c>
    </row>
    <row r="38" spans="1:4" ht="15.75">
      <c r="A38" s="11"/>
      <c r="B38" s="22" t="s">
        <v>134</v>
      </c>
      <c r="C38" s="23">
        <v>20958.08</v>
      </c>
      <c r="D38" s="21" t="s">
        <v>9</v>
      </c>
    </row>
    <row r="39" spans="1:4" ht="15.75">
      <c r="A39" s="11"/>
      <c r="B39" s="22" t="s">
        <v>135</v>
      </c>
      <c r="C39" s="17">
        <v>5078.86</v>
      </c>
      <c r="D39" s="21" t="s">
        <v>9</v>
      </c>
    </row>
    <row r="40" spans="1:4" ht="15.75">
      <c r="A40" s="11"/>
      <c r="B40" s="22" t="s">
        <v>75</v>
      </c>
      <c r="C40" s="17">
        <v>183.14</v>
      </c>
      <c r="D40" s="21" t="s">
        <v>9</v>
      </c>
    </row>
    <row r="41" spans="1:4" ht="46.5" customHeight="1">
      <c r="A41" s="11"/>
      <c r="B41" s="19" t="s">
        <v>87</v>
      </c>
      <c r="C41" s="17">
        <f>7417+2369+3409.64</f>
        <v>13195.64</v>
      </c>
      <c r="D41" s="21" t="s">
        <v>9</v>
      </c>
    </row>
    <row r="42" spans="1:4" ht="15.75">
      <c r="A42" s="11"/>
      <c r="B42" s="22"/>
      <c r="D42" s="21"/>
    </row>
    <row r="43" spans="1:4" ht="15.75">
      <c r="A43" s="35"/>
      <c r="B43" s="44" t="s">
        <v>35</v>
      </c>
      <c r="C43" s="34">
        <f>C10-C12</f>
        <v>-43567.69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1.5" customHeight="1">
      <c r="A45" s="48" t="s">
        <v>136</v>
      </c>
      <c r="B45" s="48"/>
      <c r="C45" s="35">
        <v>84193.91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248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3273.6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33783.55*12</f>
        <v>405402.6</v>
      </c>
      <c r="D10" s="21" t="s">
        <v>9</v>
      </c>
    </row>
    <row r="11" spans="1:4" ht="15.75">
      <c r="A11" s="10"/>
      <c r="B11" s="13" t="s">
        <v>10</v>
      </c>
      <c r="C11" s="33">
        <v>87.31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367139.35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5237.76*12</f>
        <v>62853.12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851.14*12</f>
        <v>10213.68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14400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23760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5859.74*12</f>
        <v>70316.88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3175.39*12</f>
        <v>38104.68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720.19*12</f>
        <v>8642.28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4975.87*12</f>
        <v>59710.44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SUM(C24:C39)</f>
        <v>79138.27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706.55</v>
      </c>
      <c r="D24" s="21" t="s">
        <v>9</v>
      </c>
    </row>
    <row r="25" spans="1:4" ht="15.75">
      <c r="A25" s="12"/>
      <c r="B25" s="18" t="s">
        <v>249</v>
      </c>
      <c r="C25" s="31">
        <v>14424</v>
      </c>
      <c r="D25" s="21" t="s">
        <v>9</v>
      </c>
    </row>
    <row r="26" spans="1:4" ht="15.75">
      <c r="A26" s="11"/>
      <c r="B26" s="22" t="s">
        <v>279</v>
      </c>
      <c r="C26" s="23">
        <v>452</v>
      </c>
      <c r="D26" s="21" t="s">
        <v>9</v>
      </c>
    </row>
    <row r="27" spans="1:4" ht="15.75">
      <c r="A27" s="11"/>
      <c r="B27" s="22" t="s">
        <v>90</v>
      </c>
      <c r="C27" s="23">
        <v>342</v>
      </c>
      <c r="D27" s="21" t="s">
        <v>9</v>
      </c>
    </row>
    <row r="28" spans="1:4" ht="15.75">
      <c r="A28" s="11"/>
      <c r="B28" s="22" t="s">
        <v>250</v>
      </c>
      <c r="C28" s="23">
        <v>314</v>
      </c>
      <c r="D28" s="21" t="s">
        <v>9</v>
      </c>
    </row>
    <row r="29" spans="1:4" ht="15.75">
      <c r="A29" s="11"/>
      <c r="B29" s="22" t="s">
        <v>81</v>
      </c>
      <c r="C29" s="23">
        <v>1790</v>
      </c>
      <c r="D29" s="21" t="s">
        <v>9</v>
      </c>
    </row>
    <row r="30" spans="1:4" ht="15.75">
      <c r="A30" s="11"/>
      <c r="B30" s="22" t="s">
        <v>251</v>
      </c>
      <c r="C30" s="23">
        <f>174.43+4318</f>
        <v>4492.43</v>
      </c>
      <c r="D30" s="21" t="s">
        <v>9</v>
      </c>
    </row>
    <row r="31" spans="1:4" ht="15.75">
      <c r="A31" s="11"/>
      <c r="B31" s="19" t="s">
        <v>48</v>
      </c>
      <c r="C31" s="23">
        <v>1117.2</v>
      </c>
      <c r="D31" s="21" t="s">
        <v>9</v>
      </c>
    </row>
    <row r="32" spans="1:4" ht="15.75">
      <c r="A32" s="11"/>
      <c r="B32" s="22" t="s">
        <v>61</v>
      </c>
      <c r="C32" s="23">
        <v>827.25</v>
      </c>
      <c r="D32" s="21" t="s">
        <v>9</v>
      </c>
    </row>
    <row r="33" spans="1:4" ht="15.75">
      <c r="A33" s="11"/>
      <c r="B33" s="22" t="s">
        <v>72</v>
      </c>
      <c r="C33" s="23">
        <v>1439.03</v>
      </c>
      <c r="D33" s="21" t="s">
        <v>9</v>
      </c>
    </row>
    <row r="34" spans="1:4" ht="15.75">
      <c r="A34" s="11"/>
      <c r="B34" s="22" t="s">
        <v>91</v>
      </c>
      <c r="C34" s="23">
        <v>409.36</v>
      </c>
      <c r="D34" s="21" t="s">
        <v>9</v>
      </c>
    </row>
    <row r="35" spans="1:4" ht="15.75">
      <c r="A35" s="11"/>
      <c r="B35" s="22" t="s">
        <v>92</v>
      </c>
      <c r="C35" s="23">
        <f>11133.15+1622.16+6043.86</f>
        <v>18799.17</v>
      </c>
      <c r="D35" s="21" t="s">
        <v>9</v>
      </c>
    </row>
    <row r="36" spans="1:4" ht="15.75">
      <c r="A36" s="11"/>
      <c r="B36" s="22" t="s">
        <v>134</v>
      </c>
      <c r="C36" s="23">
        <v>21646.01</v>
      </c>
      <c r="D36" s="21" t="s">
        <v>9</v>
      </c>
    </row>
    <row r="37" spans="1:4" ht="15.75">
      <c r="A37" s="11"/>
      <c r="B37" s="22" t="s">
        <v>135</v>
      </c>
      <c r="C37" s="17">
        <v>5564.69</v>
      </c>
      <c r="D37" s="21" t="s">
        <v>9</v>
      </c>
    </row>
    <row r="38" spans="1:4" ht="15.75">
      <c r="A38" s="11"/>
      <c r="B38" s="22" t="s">
        <v>75</v>
      </c>
      <c r="C38" s="17">
        <v>1098.84</v>
      </c>
      <c r="D38" s="21" t="s">
        <v>9</v>
      </c>
    </row>
    <row r="39" spans="1:4" ht="45" customHeight="1">
      <c r="A39" s="11"/>
      <c r="B39" s="19" t="s">
        <v>87</v>
      </c>
      <c r="C39" s="17">
        <v>5715.74</v>
      </c>
      <c r="D39" s="21" t="s">
        <v>9</v>
      </c>
    </row>
    <row r="40" spans="1:4" ht="15.75">
      <c r="A40" s="11"/>
      <c r="B40" s="22"/>
      <c r="D40" s="21"/>
    </row>
    <row r="41" spans="1:4" ht="15.75">
      <c r="A41" s="11"/>
      <c r="B41" s="22"/>
      <c r="C41" s="17"/>
      <c r="D41" s="21"/>
    </row>
    <row r="42" spans="1:4" ht="15.75">
      <c r="A42" s="6"/>
      <c r="B42" s="7"/>
      <c r="C42" s="7"/>
      <c r="D42" s="21"/>
    </row>
    <row r="43" spans="1:4" ht="15.75">
      <c r="A43" s="35"/>
      <c r="B43" s="44" t="s">
        <v>35</v>
      </c>
      <c r="C43" s="34">
        <f>C10-C12</f>
        <v>38263.25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0" customHeight="1">
      <c r="A45" s="48" t="s">
        <v>136</v>
      </c>
      <c r="B45" s="48"/>
      <c r="C45" s="35">
        <v>59799.06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28125" style="0" customWidth="1"/>
    <col min="4" max="4" width="6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252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426.3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4399.4*12-2506.68</f>
        <v>50286.12</v>
      </c>
      <c r="D10" s="21" t="s">
        <v>9</v>
      </c>
    </row>
    <row r="11" spans="1:4" ht="15.75">
      <c r="A11" s="10"/>
      <c r="B11" s="13" t="s">
        <v>10</v>
      </c>
      <c r="C11" s="33">
        <v>82.54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54962.35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682.08*12</f>
        <v>8184.96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110.84*12</f>
        <v>1330.08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5256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763.08*12</f>
        <v>9156.96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413.51*12</f>
        <v>4962.12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93.79*12</f>
        <v>1125.48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647.98*12</f>
        <v>7775.76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SUM(C24:C36)</f>
        <v>17170.99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147</v>
      </c>
      <c r="C24" s="16">
        <v>975.36</v>
      </c>
      <c r="D24" s="21" t="s">
        <v>9</v>
      </c>
    </row>
    <row r="25" spans="1:4" ht="15.75">
      <c r="A25" s="12"/>
      <c r="B25" s="19" t="s">
        <v>288</v>
      </c>
      <c r="C25" s="16">
        <v>234</v>
      </c>
      <c r="D25" s="21" t="s">
        <v>9</v>
      </c>
    </row>
    <row r="26" spans="1:4" ht="15.75">
      <c r="A26" s="11"/>
      <c r="B26" s="22" t="s">
        <v>106</v>
      </c>
      <c r="C26" s="23">
        <v>1348</v>
      </c>
      <c r="D26" s="21" t="s">
        <v>9</v>
      </c>
    </row>
    <row r="27" spans="1:4" ht="15.75">
      <c r="A27" s="11"/>
      <c r="B27" s="22" t="s">
        <v>90</v>
      </c>
      <c r="C27" s="23">
        <v>1710</v>
      </c>
      <c r="D27" s="21" t="s">
        <v>9</v>
      </c>
    </row>
    <row r="28" spans="1:4" ht="15.75">
      <c r="A28" s="11"/>
      <c r="B28" s="22" t="s">
        <v>253</v>
      </c>
      <c r="C28" s="23">
        <v>121</v>
      </c>
      <c r="D28" s="21" t="s">
        <v>9</v>
      </c>
    </row>
    <row r="29" spans="1:4" ht="15.75">
      <c r="A29" s="11"/>
      <c r="B29" s="19" t="s">
        <v>48</v>
      </c>
      <c r="C29" s="23">
        <f>1915.2+1526</f>
        <v>3441.2</v>
      </c>
      <c r="D29" s="21" t="s">
        <v>9</v>
      </c>
    </row>
    <row r="30" spans="1:4" ht="15.75">
      <c r="A30" s="11"/>
      <c r="B30" s="22" t="s">
        <v>61</v>
      </c>
      <c r="C30" s="23">
        <v>827.25</v>
      </c>
      <c r="D30" s="21" t="s">
        <v>9</v>
      </c>
    </row>
    <row r="31" spans="1:4" ht="15.75">
      <c r="A31" s="11"/>
      <c r="B31" s="22" t="s">
        <v>72</v>
      </c>
      <c r="C31" s="23">
        <f>719.52+1439.03+1439.03</f>
        <v>3597.58</v>
      </c>
      <c r="D31" s="21" t="s">
        <v>9</v>
      </c>
    </row>
    <row r="32" spans="1:4" ht="15.75">
      <c r="A32" s="11"/>
      <c r="B32" s="22" t="s">
        <v>91</v>
      </c>
      <c r="C32" s="23">
        <v>584.8</v>
      </c>
      <c r="D32" s="21" t="s">
        <v>9</v>
      </c>
    </row>
    <row r="33" spans="1:4" ht="15.75">
      <c r="A33" s="11"/>
      <c r="B33" s="22" t="s">
        <v>134</v>
      </c>
      <c r="C33" s="23">
        <v>3008.98</v>
      </c>
      <c r="D33" s="21" t="s">
        <v>9</v>
      </c>
    </row>
    <row r="34" spans="1:4" ht="15.75">
      <c r="A34" s="11"/>
      <c r="B34" s="22" t="s">
        <v>135</v>
      </c>
      <c r="C34" s="17">
        <v>971.62</v>
      </c>
      <c r="D34" s="21" t="s">
        <v>9</v>
      </c>
    </row>
    <row r="35" spans="1:4" ht="15.75">
      <c r="A35" s="11"/>
      <c r="B35" s="22" t="s">
        <v>75</v>
      </c>
      <c r="C35" s="17">
        <v>183.14</v>
      </c>
      <c r="D35" s="21" t="s">
        <v>9</v>
      </c>
    </row>
    <row r="36" spans="1:4" ht="48" customHeight="1">
      <c r="A36" s="11"/>
      <c r="B36" s="19" t="s">
        <v>87</v>
      </c>
      <c r="C36" s="17">
        <v>168.06</v>
      </c>
      <c r="D36" s="21" t="s">
        <v>9</v>
      </c>
    </row>
    <row r="37" spans="1:4" ht="15.75">
      <c r="A37" s="11"/>
      <c r="B37" s="22"/>
      <c r="D37" s="21"/>
    </row>
    <row r="38" spans="1:4" ht="15.75">
      <c r="A38" s="11"/>
      <c r="B38" s="22"/>
      <c r="C38" s="17"/>
      <c r="D38" s="21"/>
    </row>
    <row r="39" spans="1:4" ht="15.75">
      <c r="A39" s="6"/>
      <c r="B39" s="7"/>
      <c r="C39" s="7"/>
      <c r="D39" s="21"/>
    </row>
    <row r="40" spans="1:4" ht="15.75">
      <c r="A40" s="35"/>
      <c r="B40" s="44" t="s">
        <v>35</v>
      </c>
      <c r="C40" s="34">
        <f>C10-C12</f>
        <v>-4676.23</v>
      </c>
      <c r="D40" s="21" t="s">
        <v>9</v>
      </c>
    </row>
    <row r="41" spans="1:4" ht="15.75">
      <c r="A41" s="35"/>
      <c r="B41" s="35"/>
      <c r="C41" s="35" t="s">
        <v>41</v>
      </c>
      <c r="D41" s="21"/>
    </row>
    <row r="42" spans="1:4" ht="32.25" customHeight="1">
      <c r="A42" s="48" t="s">
        <v>136</v>
      </c>
      <c r="B42" s="48"/>
      <c r="C42" s="35">
        <v>20639.82</v>
      </c>
      <c r="D42" s="21" t="s">
        <v>9</v>
      </c>
    </row>
    <row r="43" spans="1:4" ht="15.75">
      <c r="A43" s="6"/>
      <c r="B43" s="6"/>
      <c r="C43" s="6"/>
      <c r="D43" s="6"/>
    </row>
    <row r="44" spans="1:4" ht="15.75">
      <c r="A44" s="6"/>
      <c r="B44" s="6"/>
      <c r="C44" s="6"/>
      <c r="D44" s="6"/>
    </row>
  </sheetData>
  <mergeCells count="7">
    <mergeCell ref="A6:C6"/>
    <mergeCell ref="A8:B8"/>
    <mergeCell ref="A42:B42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7">
      <selection activeCell="D12" sqref="D12"/>
    </sheetView>
  </sheetViews>
  <sheetFormatPr defaultColWidth="9.140625" defaultRowHeight="12.75"/>
  <cols>
    <col min="1" max="1" width="7.7109375" style="0" customWidth="1"/>
    <col min="2" max="2" width="56.8515625" style="0" customWidth="1"/>
    <col min="3" max="3" width="12.57421875" style="26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56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348.4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v>29140.08</v>
      </c>
      <c r="D10" s="21" t="s">
        <v>9</v>
      </c>
    </row>
    <row r="11" spans="1:4" ht="15.75">
      <c r="A11" s="10"/>
      <c r="B11" s="13" t="s">
        <v>10</v>
      </c>
      <c r="C11" s="33">
        <v>64.82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32497.92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243.88*12</f>
        <v>2926.56</v>
      </c>
      <c r="D13" s="21" t="s">
        <v>9</v>
      </c>
    </row>
    <row r="14" spans="1:4" ht="31.5">
      <c r="A14" s="12" t="s">
        <v>25</v>
      </c>
      <c r="B14" s="13" t="s">
        <v>14</v>
      </c>
      <c r="C14" s="14">
        <f>83.62*12</f>
        <v>1003.44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0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1853</v>
      </c>
      <c r="D16" s="21" t="s">
        <v>9</v>
      </c>
    </row>
    <row r="17" spans="1:4" ht="31.5">
      <c r="A17" s="38" t="s">
        <v>28</v>
      </c>
      <c r="B17" s="13" t="s">
        <v>16</v>
      </c>
      <c r="C17" s="14">
        <v>5591.27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v>9668.7</v>
      </c>
      <c r="D18" s="21" t="s">
        <v>9</v>
      </c>
    </row>
    <row r="19" spans="1:4" ht="31.5">
      <c r="A19" s="38" t="s">
        <v>30</v>
      </c>
      <c r="B19" s="13" t="s">
        <v>18</v>
      </c>
      <c r="C19" s="14">
        <v>0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529.57*12</f>
        <v>6354.84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C24+C25+C26+C27+C28</f>
        <v>5100.11</v>
      </c>
      <c r="D22" s="21" t="s">
        <v>9</v>
      </c>
    </row>
    <row r="23" spans="1:4" ht="15.75">
      <c r="A23" s="12"/>
      <c r="B23" s="47" t="s">
        <v>23</v>
      </c>
      <c r="C23" s="6"/>
      <c r="D23" s="21" t="s">
        <v>9</v>
      </c>
    </row>
    <row r="24" spans="1:4" ht="15.75">
      <c r="A24" s="12"/>
      <c r="B24" s="18" t="s">
        <v>281</v>
      </c>
      <c r="C24" s="15">
        <v>577</v>
      </c>
      <c r="D24" s="21" t="s">
        <v>9</v>
      </c>
    </row>
    <row r="25" spans="1:4" ht="15.75">
      <c r="A25" s="12"/>
      <c r="B25" s="19" t="s">
        <v>57</v>
      </c>
      <c r="C25" s="16">
        <v>1107.45</v>
      </c>
      <c r="D25" s="21" t="s">
        <v>9</v>
      </c>
    </row>
    <row r="26" spans="1:4" ht="15.75">
      <c r="A26" s="12"/>
      <c r="B26" s="22" t="s">
        <v>134</v>
      </c>
      <c r="C26" s="23">
        <v>1286.3</v>
      </c>
      <c r="D26" s="21" t="s">
        <v>9</v>
      </c>
    </row>
    <row r="27" spans="1:4" ht="15.75">
      <c r="A27" s="12"/>
      <c r="B27" s="22" t="s">
        <v>135</v>
      </c>
      <c r="C27" s="17">
        <v>1589.9</v>
      </c>
      <c r="D27" s="21" t="s">
        <v>9</v>
      </c>
    </row>
    <row r="28" spans="1:4" ht="63">
      <c r="A28" s="6"/>
      <c r="B28" s="19" t="s">
        <v>55</v>
      </c>
      <c r="C28" s="17">
        <v>539.46</v>
      </c>
      <c r="D28" s="21" t="s">
        <v>9</v>
      </c>
    </row>
    <row r="29" spans="1:4" ht="15.75">
      <c r="A29" s="6"/>
      <c r="B29" s="19"/>
      <c r="C29" s="17"/>
      <c r="D29" s="21"/>
    </row>
    <row r="30" spans="1:4" ht="15.75">
      <c r="A30" s="6"/>
      <c r="B30" s="19"/>
      <c r="C30" s="17"/>
      <c r="D30" s="21"/>
    </row>
    <row r="31" spans="1:4" ht="15.75">
      <c r="A31" s="35"/>
      <c r="B31" s="44" t="s">
        <v>35</v>
      </c>
      <c r="C31" s="34">
        <f>C10-C12</f>
        <v>-3357.84</v>
      </c>
      <c r="D31" s="21" t="s">
        <v>9</v>
      </c>
    </row>
    <row r="32" spans="1:4" ht="15.75" customHeight="1">
      <c r="A32" s="35"/>
      <c r="B32" s="35"/>
      <c r="C32" s="35" t="s">
        <v>41</v>
      </c>
      <c r="D32" s="21" t="s">
        <v>9</v>
      </c>
    </row>
    <row r="33" spans="1:4" ht="30" customHeight="1">
      <c r="A33" s="48" t="s">
        <v>136</v>
      </c>
      <c r="B33" s="48"/>
      <c r="C33" s="35">
        <v>30984.26</v>
      </c>
      <c r="D33" s="21" t="s">
        <v>9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  <row r="36" spans="1:3" ht="12.75">
      <c r="A36" s="24"/>
      <c r="B36" s="24"/>
      <c r="C36" s="25"/>
    </row>
  </sheetData>
  <mergeCells count="6">
    <mergeCell ref="A6:C6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J29" sqref="J29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8515625" style="0" customWidth="1"/>
    <col min="4" max="4" width="6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9.75" customHeight="1">
      <c r="A5" s="6"/>
      <c r="B5" s="6"/>
      <c r="C5" s="6"/>
      <c r="D5" s="6"/>
    </row>
    <row r="6" spans="1:4" ht="18.75">
      <c r="A6" s="49" t="s">
        <v>254</v>
      </c>
      <c r="B6" s="49"/>
      <c r="C6" s="49"/>
      <c r="D6" s="41"/>
    </row>
    <row r="7" spans="1:4" ht="9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609.9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6294.17*12-3586.2</f>
        <v>71943.84</v>
      </c>
      <c r="D10" s="21" t="s">
        <v>9</v>
      </c>
    </row>
    <row r="11" spans="1:4" ht="15.75">
      <c r="A11" s="10"/>
      <c r="B11" s="13" t="s">
        <v>10</v>
      </c>
      <c r="C11" s="33">
        <v>88.14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90646.74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975.84*12</f>
        <v>11710.08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158.57*12</f>
        <v>1902.84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10512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1091.72*12</f>
        <v>13100.64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591.6*12</f>
        <v>7099.2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134.18*12</f>
        <v>1610.16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927.05*12</f>
        <v>11124.6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33587.22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255</v>
      </c>
      <c r="C24" s="28">
        <v>5062</v>
      </c>
      <c r="D24" s="21" t="s">
        <v>9</v>
      </c>
    </row>
    <row r="25" spans="1:4" ht="15.75">
      <c r="A25" s="11"/>
      <c r="B25" s="22" t="s">
        <v>256</v>
      </c>
      <c r="C25" s="23">
        <v>3488.56</v>
      </c>
      <c r="D25" s="21" t="s">
        <v>9</v>
      </c>
    </row>
    <row r="26" spans="1:4" ht="15.75">
      <c r="A26" s="11"/>
      <c r="B26" s="22" t="s">
        <v>189</v>
      </c>
      <c r="C26" s="23">
        <v>2721.58</v>
      </c>
      <c r="D26" s="21" t="s">
        <v>9</v>
      </c>
    </row>
    <row r="27" spans="1:4" ht="15.75">
      <c r="A27" s="11"/>
      <c r="B27" s="19" t="s">
        <v>48</v>
      </c>
      <c r="C27" s="23">
        <v>4788</v>
      </c>
      <c r="D27" s="21" t="s">
        <v>9</v>
      </c>
    </row>
    <row r="28" spans="1:4" ht="15.75">
      <c r="A28" s="11"/>
      <c r="B28" s="22" t="s">
        <v>61</v>
      </c>
      <c r="C28" s="23">
        <v>2481.75</v>
      </c>
      <c r="D28" s="21" t="s">
        <v>9</v>
      </c>
    </row>
    <row r="29" spans="1:4" ht="15.75">
      <c r="A29" s="11"/>
      <c r="B29" s="22" t="s">
        <v>72</v>
      </c>
      <c r="C29" s="23">
        <v>7195.15</v>
      </c>
      <c r="D29" s="21" t="s">
        <v>9</v>
      </c>
    </row>
    <row r="30" spans="1:4" ht="15.75">
      <c r="A30" s="11"/>
      <c r="B30" s="22" t="s">
        <v>91</v>
      </c>
      <c r="C30" s="23">
        <v>935.68</v>
      </c>
      <c r="D30" s="21" t="s">
        <v>9</v>
      </c>
    </row>
    <row r="31" spans="1:4" ht="15.75">
      <c r="A31" s="11"/>
      <c r="B31" s="22" t="s">
        <v>134</v>
      </c>
      <c r="C31" s="23">
        <v>4259.08</v>
      </c>
      <c r="D31" s="21" t="s">
        <v>9</v>
      </c>
    </row>
    <row r="32" spans="1:4" ht="15.75">
      <c r="A32" s="11"/>
      <c r="B32" s="22" t="s">
        <v>135</v>
      </c>
      <c r="C32" s="17">
        <v>1280.75</v>
      </c>
      <c r="D32" s="21" t="s">
        <v>9</v>
      </c>
    </row>
    <row r="33" spans="1:4" ht="15.75">
      <c r="A33" s="11"/>
      <c r="B33" s="22" t="s">
        <v>75</v>
      </c>
      <c r="C33" s="17">
        <v>549.42</v>
      </c>
      <c r="D33" s="21" t="s">
        <v>9</v>
      </c>
    </row>
    <row r="34" spans="1:4" ht="49.5" customHeight="1">
      <c r="A34" s="11"/>
      <c r="B34" s="19" t="s">
        <v>87</v>
      </c>
      <c r="C34" s="17">
        <v>825.25</v>
      </c>
      <c r="D34" s="21" t="s">
        <v>9</v>
      </c>
    </row>
    <row r="35" spans="1:4" ht="15.75">
      <c r="A35" s="11"/>
      <c r="B35" s="22"/>
      <c r="D35" s="21"/>
    </row>
    <row r="36" spans="1:4" ht="15.75">
      <c r="A36" s="6"/>
      <c r="B36" s="7"/>
      <c r="C36" s="7"/>
      <c r="D36" s="21"/>
    </row>
    <row r="37" spans="1:4" ht="15.75">
      <c r="A37" s="35"/>
      <c r="B37" s="44" t="s">
        <v>35</v>
      </c>
      <c r="C37" s="34">
        <f>C10-C12</f>
        <v>-18702.9</v>
      </c>
      <c r="D37" s="21" t="s">
        <v>9</v>
      </c>
    </row>
    <row r="38" spans="1:4" ht="15.75">
      <c r="A38" s="35"/>
      <c r="B38" s="35"/>
      <c r="C38" s="35" t="s">
        <v>41</v>
      </c>
      <c r="D38" s="21"/>
    </row>
    <row r="39" spans="1:4" ht="30" customHeight="1">
      <c r="A39" s="48" t="s">
        <v>136</v>
      </c>
      <c r="B39" s="48"/>
      <c r="C39" s="35">
        <v>15973.89</v>
      </c>
      <c r="D39" s="21" t="s">
        <v>9</v>
      </c>
    </row>
    <row r="40" spans="1:4" ht="15.75">
      <c r="A40" s="6"/>
      <c r="B40" s="6"/>
      <c r="C40" s="6"/>
      <c r="D40" s="6"/>
    </row>
    <row r="41" spans="1:4" ht="15.75">
      <c r="A41" s="6"/>
      <c r="B41" s="6"/>
      <c r="C41" s="6"/>
      <c r="D41" s="6"/>
    </row>
  </sheetData>
  <mergeCells count="7">
    <mergeCell ref="A6:C6"/>
    <mergeCell ref="A8:B8"/>
    <mergeCell ref="A39:B3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57421875" style="0" customWidth="1"/>
    <col min="4" max="4" width="8.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5.25" customHeight="1">
      <c r="A5" s="6"/>
      <c r="B5" s="6"/>
      <c r="C5" s="6"/>
      <c r="D5" s="6"/>
    </row>
    <row r="6" spans="1:4" ht="18.75">
      <c r="A6" s="49" t="s">
        <v>257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725.2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42">
        <f>7484.06*12-4264.2</f>
        <v>85545</v>
      </c>
      <c r="D10" s="21" t="s">
        <v>9</v>
      </c>
    </row>
    <row r="11" spans="1:4" ht="15.75">
      <c r="A11" s="10"/>
      <c r="B11" s="13" t="s">
        <v>10</v>
      </c>
      <c r="C11" s="33">
        <v>88.3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94087.08</v>
      </c>
      <c r="D12" s="21" t="s">
        <v>9</v>
      </c>
    </row>
    <row r="13" spans="1:5" ht="20.25" customHeight="1">
      <c r="A13" s="12" t="s">
        <v>24</v>
      </c>
      <c r="B13" s="13" t="s">
        <v>13</v>
      </c>
      <c r="C13" s="14">
        <f>1160.32*12</f>
        <v>13923.84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188.55*12</f>
        <v>2262.6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22392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1298.11*12</f>
        <v>15577.32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703.44*12</f>
        <v>8441.28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159.54*12</f>
        <v>1914.48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1102.3*12</f>
        <v>13227.6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SUM(C24:C32)</f>
        <v>16347.96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2055.42</v>
      </c>
      <c r="D24" s="21" t="s">
        <v>9</v>
      </c>
    </row>
    <row r="25" spans="1:4" ht="15.75">
      <c r="A25" s="12"/>
      <c r="B25" s="19" t="s">
        <v>147</v>
      </c>
      <c r="C25" s="16" t="s">
        <v>258</v>
      </c>
      <c r="D25" s="21" t="s">
        <v>9</v>
      </c>
    </row>
    <row r="26" spans="1:4" ht="15.75">
      <c r="A26" s="11"/>
      <c r="B26" s="19" t="s">
        <v>48</v>
      </c>
      <c r="C26" s="23">
        <v>2394</v>
      </c>
      <c r="D26" s="21" t="s">
        <v>9</v>
      </c>
    </row>
    <row r="27" spans="1:4" ht="15.75">
      <c r="A27" s="11"/>
      <c r="B27" s="22" t="s">
        <v>61</v>
      </c>
      <c r="C27" s="23">
        <f>1654.5+928.54</f>
        <v>2583.04</v>
      </c>
      <c r="D27" s="21" t="s">
        <v>9</v>
      </c>
    </row>
    <row r="28" spans="1:4" ht="15.75">
      <c r="A28" s="11"/>
      <c r="B28" s="22" t="s">
        <v>91</v>
      </c>
      <c r="C28" s="23">
        <v>467.84</v>
      </c>
      <c r="D28" s="21" t="s">
        <v>9</v>
      </c>
    </row>
    <row r="29" spans="1:4" ht="15.75">
      <c r="A29" s="11"/>
      <c r="B29" s="22" t="s">
        <v>134</v>
      </c>
      <c r="C29" s="23">
        <v>5202.36</v>
      </c>
      <c r="D29" s="21" t="s">
        <v>9</v>
      </c>
    </row>
    <row r="30" spans="1:4" ht="15.75">
      <c r="A30" s="11"/>
      <c r="B30" s="22" t="s">
        <v>135</v>
      </c>
      <c r="C30" s="17">
        <v>971.62</v>
      </c>
      <c r="D30" s="21" t="s">
        <v>9</v>
      </c>
    </row>
    <row r="31" spans="1:4" ht="15.75">
      <c r="A31" s="11"/>
      <c r="B31" s="22" t="s">
        <v>75</v>
      </c>
      <c r="C31" s="17">
        <v>549.42</v>
      </c>
      <c r="D31" s="21" t="s">
        <v>9</v>
      </c>
    </row>
    <row r="32" spans="1:4" ht="45.75" customHeight="1">
      <c r="A32" s="11"/>
      <c r="B32" s="19" t="s">
        <v>87</v>
      </c>
      <c r="C32" s="17">
        <v>2124.26</v>
      </c>
      <c r="D32" s="21" t="s">
        <v>9</v>
      </c>
    </row>
    <row r="33" spans="1:4" ht="15.75">
      <c r="A33" s="11"/>
      <c r="B33" s="22"/>
      <c r="D33" s="21"/>
    </row>
    <row r="34" spans="1:4" ht="15.75">
      <c r="A34" s="11"/>
      <c r="B34" s="22"/>
      <c r="C34" s="17"/>
      <c r="D34" s="21"/>
    </row>
    <row r="35" spans="1:4" ht="15.75">
      <c r="A35" s="6"/>
      <c r="B35" s="7"/>
      <c r="C35" s="7"/>
      <c r="D35" s="21"/>
    </row>
    <row r="36" spans="1:4" ht="15.75">
      <c r="A36" s="35"/>
      <c r="B36" s="44" t="s">
        <v>35</v>
      </c>
      <c r="C36" s="34">
        <f>C10-C12</f>
        <v>-8542.08</v>
      </c>
      <c r="D36" s="21" t="s">
        <v>9</v>
      </c>
    </row>
    <row r="37" spans="1:4" ht="15.75">
      <c r="A37" s="35"/>
      <c r="B37" s="35"/>
      <c r="C37" s="35" t="s">
        <v>41</v>
      </c>
      <c r="D37" s="21"/>
    </row>
    <row r="38" spans="1:4" ht="30" customHeight="1">
      <c r="A38" s="48" t="s">
        <v>136</v>
      </c>
      <c r="B38" s="48"/>
      <c r="C38" s="35">
        <v>12686.16</v>
      </c>
      <c r="D38" s="21" t="s">
        <v>9</v>
      </c>
    </row>
    <row r="39" spans="1:4" ht="15.75">
      <c r="A39" s="6"/>
      <c r="B39" s="6"/>
      <c r="C39" s="6"/>
      <c r="D39" s="6"/>
    </row>
    <row r="40" spans="1:4" ht="15.75">
      <c r="A40" s="6"/>
      <c r="B40" s="6"/>
      <c r="C40" s="6"/>
      <c r="D40" s="6"/>
    </row>
  </sheetData>
  <mergeCells count="7">
    <mergeCell ref="A6:C6"/>
    <mergeCell ref="A8:B8"/>
    <mergeCell ref="A38:B3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6.28125" style="0" customWidth="1"/>
    <col min="3" max="3" width="13.140625" style="0" customWidth="1"/>
    <col min="4" max="4" width="9.2812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5.25" customHeight="1">
      <c r="A5" s="6"/>
      <c r="B5" s="6"/>
      <c r="C5" s="6"/>
    </row>
    <row r="6" spans="1:3" ht="18.75">
      <c r="A6" s="49" t="s">
        <v>122</v>
      </c>
      <c r="B6" s="49"/>
      <c r="C6" s="49"/>
    </row>
    <row r="7" spans="1:3" ht="6" customHeight="1">
      <c r="A7" s="6"/>
      <c r="B7" s="6"/>
      <c r="C7" s="6"/>
    </row>
    <row r="8" spans="1:4" ht="15.75">
      <c r="A8" s="51" t="s">
        <v>6</v>
      </c>
      <c r="B8" s="51"/>
      <c r="C8" s="32">
        <v>2448.38</v>
      </c>
      <c r="D8" s="20" t="s">
        <v>7</v>
      </c>
    </row>
    <row r="9" spans="1:4" ht="15.75">
      <c r="A9" s="10">
        <v>1</v>
      </c>
      <c r="B9" s="32" t="s">
        <v>8</v>
      </c>
      <c r="C9" s="9"/>
      <c r="D9" s="21"/>
    </row>
    <row r="10" spans="1:4" ht="15.75">
      <c r="A10" s="10"/>
      <c r="B10" s="13" t="s">
        <v>21</v>
      </c>
      <c r="C10" s="33">
        <f>25267.28*12</f>
        <v>303207.36</v>
      </c>
      <c r="D10" s="21" t="s">
        <v>9</v>
      </c>
    </row>
    <row r="11" spans="1:4" ht="15.75">
      <c r="A11" s="10"/>
      <c r="B11" s="13" t="s">
        <v>10</v>
      </c>
      <c r="C11" s="33">
        <v>90.05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313349.39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3917.41*12</f>
        <v>47008.92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636.58*12</f>
        <v>7638.96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f>1200*12*1.23</f>
        <v>17712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f>2945*12*1.23</f>
        <v>43468.2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v>36138.09</v>
      </c>
      <c r="D17" s="21" t="s">
        <v>9</v>
      </c>
      <c r="E17" s="29"/>
    </row>
    <row r="18" spans="1:5" ht="15.75">
      <c r="A18" s="12" t="s">
        <v>29</v>
      </c>
      <c r="B18" s="13" t="s">
        <v>17</v>
      </c>
      <c r="C18" s="14">
        <f>2374.93*12</f>
        <v>28499.16</v>
      </c>
      <c r="D18" s="21" t="s">
        <v>9</v>
      </c>
      <c r="E18" s="29"/>
    </row>
    <row r="19" spans="1:5" ht="31.5">
      <c r="A19" s="38" t="s">
        <v>30</v>
      </c>
      <c r="B19" s="13" t="s">
        <v>133</v>
      </c>
      <c r="C19" s="14">
        <f>538.64*12</f>
        <v>6463.68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2861.39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3721.54*12</f>
        <v>44658.48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SUM(C24:C40)</f>
        <v>78900.51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124</v>
      </c>
      <c r="C24" s="31">
        <v>753</v>
      </c>
      <c r="D24" s="21" t="s">
        <v>9</v>
      </c>
    </row>
    <row r="25" spans="1:4" ht="15.75">
      <c r="A25" s="12"/>
      <c r="B25" s="18" t="s">
        <v>128</v>
      </c>
      <c r="C25" s="31">
        <v>1963</v>
      </c>
      <c r="D25" s="21" t="s">
        <v>9</v>
      </c>
    </row>
    <row r="26" spans="1:4" ht="15.75">
      <c r="A26" s="12"/>
      <c r="B26" s="19" t="s">
        <v>125</v>
      </c>
      <c r="C26" s="16">
        <v>1477</v>
      </c>
      <c r="D26" s="21" t="s">
        <v>9</v>
      </c>
    </row>
    <row r="27" spans="1:4" ht="15.75">
      <c r="A27" s="12"/>
      <c r="B27" s="19" t="s">
        <v>123</v>
      </c>
      <c r="C27" s="16">
        <v>8592</v>
      </c>
      <c r="D27" s="21" t="s">
        <v>9</v>
      </c>
    </row>
    <row r="28" spans="1:4" ht="15.75">
      <c r="A28" s="12"/>
      <c r="B28" s="19" t="s">
        <v>85</v>
      </c>
      <c r="C28" s="16">
        <f>10088</f>
        <v>10088</v>
      </c>
      <c r="D28" s="21" t="s">
        <v>9</v>
      </c>
    </row>
    <row r="29" spans="1:4" ht="15.75">
      <c r="A29" s="12"/>
      <c r="B29" s="19" t="s">
        <v>131</v>
      </c>
      <c r="C29" s="16">
        <v>2721.58</v>
      </c>
      <c r="D29" s="21" t="s">
        <v>9</v>
      </c>
    </row>
    <row r="30" spans="1:4" ht="15.75">
      <c r="A30" s="12"/>
      <c r="B30" s="19" t="s">
        <v>129</v>
      </c>
      <c r="C30" s="16">
        <v>2043</v>
      </c>
      <c r="D30" s="21" t="s">
        <v>9</v>
      </c>
    </row>
    <row r="31" spans="1:4" ht="15.75">
      <c r="A31" s="11"/>
      <c r="B31" s="22" t="s">
        <v>82</v>
      </c>
      <c r="C31" s="23">
        <v>1052</v>
      </c>
      <c r="D31" s="21" t="s">
        <v>9</v>
      </c>
    </row>
    <row r="32" spans="1:4" ht="15.75">
      <c r="A32" s="11"/>
      <c r="B32" s="22" t="s">
        <v>118</v>
      </c>
      <c r="C32" s="23">
        <v>936</v>
      </c>
      <c r="D32" s="21" t="s">
        <v>9</v>
      </c>
    </row>
    <row r="33" spans="1:4" ht="15.75">
      <c r="A33" s="11"/>
      <c r="B33" s="22" t="s">
        <v>130</v>
      </c>
      <c r="C33" s="23">
        <v>4963.5</v>
      </c>
      <c r="D33" s="21" t="s">
        <v>9</v>
      </c>
    </row>
    <row r="34" spans="1:4" ht="15.75">
      <c r="A34" s="11"/>
      <c r="B34" s="22" t="s">
        <v>72</v>
      </c>
      <c r="C34" s="23">
        <f>719.52+1439.03</f>
        <v>2158.55</v>
      </c>
      <c r="D34" s="21" t="s">
        <v>9</v>
      </c>
    </row>
    <row r="35" spans="1:4" ht="15.75">
      <c r="A35" s="11"/>
      <c r="B35" s="22" t="s">
        <v>92</v>
      </c>
      <c r="C35" s="23">
        <f>13714.75+2433.24+161.35</f>
        <v>16309.34</v>
      </c>
      <c r="D35" s="21" t="s">
        <v>9</v>
      </c>
    </row>
    <row r="36" spans="1:4" ht="15.75">
      <c r="A36" s="11"/>
      <c r="B36" s="22" t="s">
        <v>75</v>
      </c>
      <c r="C36" s="17">
        <f>732.56+181.56</f>
        <v>914.12</v>
      </c>
      <c r="D36" s="21" t="s">
        <v>9</v>
      </c>
    </row>
    <row r="37" spans="1:4" ht="15.75">
      <c r="A37" s="11"/>
      <c r="B37" s="22" t="s">
        <v>132</v>
      </c>
      <c r="C37" s="17">
        <v>2437.02</v>
      </c>
      <c r="D37" s="21" t="s">
        <v>9</v>
      </c>
    </row>
    <row r="38" spans="1:4" ht="48.75" customHeight="1">
      <c r="A38" s="11"/>
      <c r="B38" s="19" t="s">
        <v>87</v>
      </c>
      <c r="C38" s="23">
        <v>1330</v>
      </c>
      <c r="D38" s="21" t="s">
        <v>9</v>
      </c>
    </row>
    <row r="39" spans="1:4" ht="19.5" customHeight="1">
      <c r="A39" s="11"/>
      <c r="B39" s="22" t="s">
        <v>134</v>
      </c>
      <c r="C39" s="23">
        <v>17585.12</v>
      </c>
      <c r="D39" s="21" t="s">
        <v>9</v>
      </c>
    </row>
    <row r="40" spans="1:4" ht="18.75" customHeight="1">
      <c r="A40" s="11"/>
      <c r="B40" s="22" t="s">
        <v>135</v>
      </c>
      <c r="C40" s="23">
        <v>3577.28</v>
      </c>
      <c r="D40" s="21" t="s">
        <v>9</v>
      </c>
    </row>
    <row r="41" spans="1:4" ht="15.75">
      <c r="A41" s="6"/>
      <c r="B41" s="7"/>
      <c r="C41" s="7"/>
      <c r="D41" s="20"/>
    </row>
    <row r="42" spans="1:4" ht="15.75">
      <c r="A42" s="6"/>
      <c r="B42" s="44" t="s">
        <v>35</v>
      </c>
      <c r="C42" s="34">
        <f>C10-C12</f>
        <v>-10142.03</v>
      </c>
      <c r="D42" s="10" t="s">
        <v>9</v>
      </c>
    </row>
    <row r="43" spans="1:4" ht="15.75">
      <c r="A43" s="6"/>
      <c r="B43" s="6"/>
      <c r="C43" s="6" t="s">
        <v>41</v>
      </c>
      <c r="D43" s="10"/>
    </row>
    <row r="44" spans="1:4" ht="21.75" customHeight="1">
      <c r="A44" s="53" t="s">
        <v>126</v>
      </c>
      <c r="B44" s="53"/>
      <c r="C44" s="35">
        <v>37548.47</v>
      </c>
      <c r="D44" s="37" t="s">
        <v>9</v>
      </c>
    </row>
    <row r="45" spans="1:4" ht="15.75">
      <c r="A45" s="6"/>
      <c r="B45" s="6"/>
      <c r="C45" s="6"/>
      <c r="D45" s="10"/>
    </row>
    <row r="46" spans="1:4" ht="15.75">
      <c r="A46" s="6"/>
      <c r="B46" s="6"/>
      <c r="C46" s="6"/>
      <c r="D46" s="10"/>
    </row>
  </sheetData>
  <mergeCells count="7">
    <mergeCell ref="A6:C6"/>
    <mergeCell ref="A8:B8"/>
    <mergeCell ref="A44:B44"/>
    <mergeCell ref="A1:C1"/>
    <mergeCell ref="A2:C2"/>
    <mergeCell ref="A3:C3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140625" style="0" customWidth="1"/>
    <col min="4" max="4" width="7.281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259</v>
      </c>
      <c r="B6" s="49"/>
      <c r="C6" s="49"/>
      <c r="D6" s="41"/>
    </row>
    <row r="7" spans="1:4" ht="6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283.7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2927.78*12-1668.12</f>
        <v>33465.24</v>
      </c>
      <c r="D10" s="21" t="s">
        <v>9</v>
      </c>
    </row>
    <row r="11" spans="1:4" ht="15.75">
      <c r="A11" s="10"/>
      <c r="B11" s="13" t="s">
        <v>10</v>
      </c>
      <c r="C11" s="33">
        <v>87.09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43137.68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453.92*12</f>
        <v>5447.04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73.76*12</f>
        <v>885.12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15739.2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507.82*12</f>
        <v>6093.84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275.19*12</f>
        <v>3302.28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62.41*12</f>
        <v>748.92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431.22*12</f>
        <v>5174.64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SUM(C24:C28)</f>
        <v>5746.64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773.88</v>
      </c>
      <c r="D24" s="21" t="s">
        <v>9</v>
      </c>
    </row>
    <row r="25" spans="1:4" ht="15.75">
      <c r="A25" s="11"/>
      <c r="B25" s="22" t="s">
        <v>66</v>
      </c>
      <c r="C25" s="23">
        <v>2200</v>
      </c>
      <c r="D25" s="21" t="s">
        <v>9</v>
      </c>
    </row>
    <row r="26" spans="1:4" ht="15.75">
      <c r="A26" s="11"/>
      <c r="B26" s="22" t="s">
        <v>134</v>
      </c>
      <c r="C26" s="23">
        <v>1892.29</v>
      </c>
      <c r="D26" s="21" t="s">
        <v>9</v>
      </c>
    </row>
    <row r="27" spans="1:4" ht="15.75">
      <c r="A27" s="11"/>
      <c r="B27" s="22" t="s">
        <v>135</v>
      </c>
      <c r="C27" s="17">
        <v>662.47</v>
      </c>
      <c r="D27" s="21" t="s">
        <v>9</v>
      </c>
    </row>
    <row r="28" spans="1:4" ht="50.25" customHeight="1">
      <c r="A28" s="11"/>
      <c r="B28" s="19" t="s">
        <v>87</v>
      </c>
      <c r="C28" s="17">
        <v>218</v>
      </c>
      <c r="D28" s="21" t="s">
        <v>9</v>
      </c>
    </row>
    <row r="29" spans="1:4" ht="15.75">
      <c r="A29" s="11"/>
      <c r="B29" s="22"/>
      <c r="D29" s="21"/>
    </row>
    <row r="30" spans="1:4" ht="15.75">
      <c r="A30" s="6"/>
      <c r="B30" s="7"/>
      <c r="C30" s="7"/>
      <c r="D30" s="21"/>
    </row>
    <row r="31" spans="1:4" ht="15.75">
      <c r="A31" s="35"/>
      <c r="B31" s="44" t="s">
        <v>35</v>
      </c>
      <c r="C31" s="34">
        <f>C10-C12</f>
        <v>-9672.44</v>
      </c>
      <c r="D31" s="21" t="s">
        <v>9</v>
      </c>
    </row>
    <row r="32" spans="1:4" ht="15.75">
      <c r="A32" s="35"/>
      <c r="B32" s="35"/>
      <c r="C32" s="35" t="s">
        <v>41</v>
      </c>
      <c r="D32" s="21"/>
    </row>
    <row r="33" spans="1:4" ht="36" customHeight="1">
      <c r="A33" s="48" t="s">
        <v>136</v>
      </c>
      <c r="B33" s="48"/>
      <c r="C33" s="35">
        <v>21978.8</v>
      </c>
      <c r="D33" s="21" t="s">
        <v>9</v>
      </c>
    </row>
    <row r="34" spans="1:4" ht="15.75">
      <c r="A34" s="6"/>
      <c r="B34" s="6"/>
      <c r="C34" s="6"/>
      <c r="D34" s="6"/>
    </row>
    <row r="35" spans="1:4" ht="15.75">
      <c r="A35" s="6"/>
      <c r="B35" s="6"/>
      <c r="C35" s="6"/>
      <c r="D35" s="6"/>
    </row>
  </sheetData>
  <mergeCells count="7">
    <mergeCell ref="A6:C6"/>
    <mergeCell ref="A8:B8"/>
    <mergeCell ref="A33:B3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2.28125" style="0" customWidth="1"/>
    <col min="4" max="4" width="7.0039062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260</v>
      </c>
      <c r="B6" s="49"/>
      <c r="C6" s="49"/>
      <c r="D6" s="41"/>
    </row>
    <row r="7" spans="1:4" ht="3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274.8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2835.94*12-1615.8</f>
        <v>32415.48</v>
      </c>
      <c r="D10" s="21" t="s">
        <v>9</v>
      </c>
    </row>
    <row r="11" spans="1:4" ht="15.75">
      <c r="A11" s="10"/>
      <c r="B11" s="13" t="s">
        <v>10</v>
      </c>
      <c r="C11" s="33">
        <v>90.96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53534.41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439.68*12</f>
        <v>5276.16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71.45*12</f>
        <v>857.4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7876.8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491.89*12</f>
        <v>5902.68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266.56*12</f>
        <v>3198.72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60.46*12</f>
        <v>725.52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417.7*12</f>
        <v>5012.4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SUM(C24:C31)</f>
        <v>24684.73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318.64</v>
      </c>
      <c r="D24" s="21" t="s">
        <v>9</v>
      </c>
    </row>
    <row r="25" spans="1:4" ht="15.75">
      <c r="A25" s="12"/>
      <c r="B25" s="18" t="s">
        <v>289</v>
      </c>
      <c r="C25" s="31">
        <v>9508</v>
      </c>
      <c r="D25" s="21" t="s">
        <v>9</v>
      </c>
    </row>
    <row r="26" spans="1:4" ht="15.75">
      <c r="A26" s="12"/>
      <c r="B26" s="19" t="s">
        <v>85</v>
      </c>
      <c r="C26" s="16">
        <f>3877+2328+3531.6</f>
        <v>9736.6</v>
      </c>
      <c r="D26" s="21" t="s">
        <v>9</v>
      </c>
    </row>
    <row r="27" spans="1:4" ht="15.75">
      <c r="A27" s="11"/>
      <c r="B27" s="22" t="s">
        <v>91</v>
      </c>
      <c r="C27" s="23">
        <v>812.34</v>
      </c>
      <c r="D27" s="21" t="s">
        <v>9</v>
      </c>
    </row>
    <row r="28" spans="1:4" ht="15.75">
      <c r="A28" s="11"/>
      <c r="B28" s="22" t="s">
        <v>92</v>
      </c>
      <c r="C28" s="23">
        <f>1613.5+135.18</f>
        <v>1748.68</v>
      </c>
      <c r="D28" s="21" t="s">
        <v>9</v>
      </c>
    </row>
    <row r="29" spans="1:4" ht="15.75">
      <c r="A29" s="11"/>
      <c r="B29" s="22" t="s">
        <v>134</v>
      </c>
      <c r="C29" s="23">
        <v>1898</v>
      </c>
      <c r="D29" s="21" t="s">
        <v>9</v>
      </c>
    </row>
    <row r="30" spans="1:4" ht="15.75">
      <c r="A30" s="11"/>
      <c r="B30" s="22" t="s">
        <v>135</v>
      </c>
      <c r="C30" s="17">
        <v>662.47</v>
      </c>
      <c r="D30" s="21" t="s">
        <v>9</v>
      </c>
    </row>
    <row r="31" spans="1:4" ht="46.5" customHeight="1">
      <c r="A31" s="11"/>
      <c r="B31" s="19" t="s">
        <v>87</v>
      </c>
      <c r="C31" s="46" t="s">
        <v>261</v>
      </c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-21118.93</v>
      </c>
      <c r="D35" s="21" t="s">
        <v>9</v>
      </c>
    </row>
    <row r="36" spans="1:4" ht="15.75">
      <c r="A36" s="35"/>
      <c r="B36" s="35"/>
      <c r="C36" s="35" t="s">
        <v>41</v>
      </c>
      <c r="D36" s="21"/>
    </row>
    <row r="37" spans="1:4" ht="33" customHeight="1">
      <c r="A37" s="48" t="s">
        <v>136</v>
      </c>
      <c r="B37" s="48"/>
      <c r="C37" s="34">
        <v>0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262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713.9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7367.45*12</f>
        <v>88409.4</v>
      </c>
      <c r="D10" s="21" t="s">
        <v>9</v>
      </c>
    </row>
    <row r="11" spans="1:4" ht="15.75">
      <c r="A11" s="10"/>
      <c r="B11" s="13" t="s">
        <v>10</v>
      </c>
      <c r="C11" s="33">
        <v>91.18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84067.41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1142.24*12</f>
        <v>13706.88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185.61*12</f>
        <v>2227.32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3600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7862.4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1277.88*12</f>
        <v>15334.56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692.48*12</f>
        <v>8309.76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157.06*12</f>
        <v>1884.72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/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1085.13*12</f>
        <v>13021.56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SUM(C24:C29)</f>
        <v>18120.21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9" t="s">
        <v>147</v>
      </c>
      <c r="C24" s="16">
        <f>5848+1402.08</f>
        <v>7250.08</v>
      </c>
      <c r="D24" s="21" t="s">
        <v>9</v>
      </c>
    </row>
    <row r="25" spans="1:4" ht="15.75">
      <c r="A25" s="11"/>
      <c r="B25" s="22" t="s">
        <v>66</v>
      </c>
      <c r="C25" s="23">
        <v>1155</v>
      </c>
      <c r="D25" s="21" t="s">
        <v>9</v>
      </c>
    </row>
    <row r="26" spans="1:4" ht="15.75">
      <c r="A26" s="11"/>
      <c r="B26" s="22" t="s">
        <v>61</v>
      </c>
      <c r="C26" s="23">
        <v>824.25</v>
      </c>
      <c r="D26" s="21" t="s">
        <v>9</v>
      </c>
    </row>
    <row r="27" spans="1:4" ht="15.75">
      <c r="A27" s="11"/>
      <c r="B27" s="22" t="s">
        <v>134</v>
      </c>
      <c r="C27" s="23">
        <v>6784.03</v>
      </c>
      <c r="D27" s="21" t="s">
        <v>9</v>
      </c>
    </row>
    <row r="28" spans="1:4" ht="15.75">
      <c r="A28" s="11"/>
      <c r="B28" s="22" t="s">
        <v>135</v>
      </c>
      <c r="C28" s="17">
        <v>1280.75</v>
      </c>
      <c r="D28" s="21" t="s">
        <v>9</v>
      </c>
    </row>
    <row r="29" spans="1:4" ht="45" customHeight="1">
      <c r="A29" s="11"/>
      <c r="B29" s="19" t="s">
        <v>87</v>
      </c>
      <c r="C29" s="17">
        <v>826.1</v>
      </c>
      <c r="D29" s="21" t="s">
        <v>9</v>
      </c>
    </row>
    <row r="30" spans="1:4" ht="15.75">
      <c r="A30" s="11"/>
      <c r="B30" s="22"/>
      <c r="D30" s="21"/>
    </row>
    <row r="31" spans="1:4" ht="15.75">
      <c r="A31" s="11"/>
      <c r="B31" s="22"/>
      <c r="C31" s="17"/>
      <c r="D31" s="21"/>
    </row>
    <row r="32" spans="1:4" ht="15.75">
      <c r="A32" s="6"/>
      <c r="B32" s="7"/>
      <c r="C32" s="7"/>
      <c r="D32" s="21"/>
    </row>
    <row r="33" spans="1:4" ht="15.75">
      <c r="A33" s="35"/>
      <c r="B33" s="44" t="s">
        <v>35</v>
      </c>
      <c r="C33" s="34">
        <f>C10-C12</f>
        <v>4341.99</v>
      </c>
      <c r="D33" s="21" t="s">
        <v>9</v>
      </c>
    </row>
    <row r="34" spans="1:4" ht="15.75">
      <c r="A34" s="35"/>
      <c r="B34" s="35"/>
      <c r="C34" s="35" t="s">
        <v>41</v>
      </c>
      <c r="D34" s="21"/>
    </row>
    <row r="35" spans="1:4" ht="30.75" customHeight="1">
      <c r="A35" s="48" t="s">
        <v>136</v>
      </c>
      <c r="B35" s="48"/>
      <c r="C35" s="35">
        <v>2027.34</v>
      </c>
      <c r="D35" s="21" t="s">
        <v>9</v>
      </c>
    </row>
    <row r="36" spans="1:4" ht="15.75">
      <c r="A36" s="6"/>
      <c r="B36" s="6"/>
      <c r="C36" s="6"/>
      <c r="D36" s="6"/>
    </row>
    <row r="37" spans="1:4" ht="15.75">
      <c r="A37" s="6"/>
      <c r="B37" s="6"/>
      <c r="C37" s="6"/>
      <c r="D37" s="6"/>
    </row>
  </sheetData>
  <mergeCells count="7">
    <mergeCell ref="A6:C6"/>
    <mergeCell ref="A8:B8"/>
    <mergeCell ref="A35:B3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263</v>
      </c>
      <c r="B6" s="49"/>
      <c r="C6" s="49"/>
      <c r="D6" s="41"/>
    </row>
    <row r="7" spans="1:4" ht="4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466.7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3700.93*12</f>
        <v>44411.16</v>
      </c>
      <c r="D10" s="21" t="s">
        <v>9</v>
      </c>
    </row>
    <row r="11" spans="1:4" ht="15.75">
      <c r="A11" s="10"/>
      <c r="B11" s="13" t="s">
        <v>10</v>
      </c>
      <c r="C11" s="33">
        <v>84.34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53541.25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746.72*12</f>
        <v>8960.64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121.34*12</f>
        <v>1456.08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835.39*12</f>
        <v>10024.68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452.7*12</f>
        <v>5432.4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f>0</f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709.38*12</f>
        <v>8512.56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SUM(C24:C31)</f>
        <v>19154.89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1"/>
      <c r="B24" s="22" t="s">
        <v>256</v>
      </c>
      <c r="C24" s="23">
        <f>2616.42+3488.56</f>
        <v>6104.98</v>
      </c>
      <c r="D24" s="21" t="s">
        <v>9</v>
      </c>
    </row>
    <row r="25" spans="1:4" ht="15.75">
      <c r="A25" s="11"/>
      <c r="B25" s="22" t="s">
        <v>61</v>
      </c>
      <c r="C25" s="23">
        <v>827.25</v>
      </c>
      <c r="D25" s="21" t="s">
        <v>9</v>
      </c>
    </row>
    <row r="26" spans="1:4" ht="15.75">
      <c r="A26" s="11"/>
      <c r="B26" s="22" t="s">
        <v>72</v>
      </c>
      <c r="C26" s="23">
        <v>1439.03</v>
      </c>
      <c r="D26" s="21" t="s">
        <v>9</v>
      </c>
    </row>
    <row r="27" spans="1:4" ht="15.75">
      <c r="A27" s="11"/>
      <c r="B27" s="22" t="s">
        <v>74</v>
      </c>
      <c r="C27" s="23">
        <v>523.29</v>
      </c>
      <c r="D27" s="21" t="s">
        <v>9</v>
      </c>
    </row>
    <row r="28" spans="1:4" ht="15.75">
      <c r="A28" s="11"/>
      <c r="B28" s="22" t="s">
        <v>218</v>
      </c>
      <c r="C28" s="23">
        <f>2258.9+811.08+2686.16</f>
        <v>5756.14</v>
      </c>
      <c r="D28" s="21" t="s">
        <v>9</v>
      </c>
    </row>
    <row r="29" spans="1:4" ht="15.75">
      <c r="A29" s="11"/>
      <c r="B29" s="22" t="s">
        <v>134</v>
      </c>
      <c r="C29" s="23">
        <v>2972.78</v>
      </c>
      <c r="D29" s="21" t="s">
        <v>9</v>
      </c>
    </row>
    <row r="30" spans="1:4" ht="16.5" customHeight="1">
      <c r="A30" s="11"/>
      <c r="B30" s="22" t="s">
        <v>135</v>
      </c>
      <c r="C30" s="17">
        <v>971.62</v>
      </c>
      <c r="D30" s="21" t="s">
        <v>9</v>
      </c>
    </row>
    <row r="31" spans="1:4" ht="46.5" customHeight="1">
      <c r="A31" s="11"/>
      <c r="B31" s="19" t="s">
        <v>87</v>
      </c>
      <c r="C31" s="17">
        <v>559.8</v>
      </c>
      <c r="D31" s="21" t="s">
        <v>9</v>
      </c>
    </row>
    <row r="32" spans="1:4" ht="15.75">
      <c r="A32" s="11"/>
      <c r="B32" s="22"/>
      <c r="D32" s="21"/>
    </row>
    <row r="33" spans="1:4" ht="15.75">
      <c r="A33" s="11"/>
      <c r="B33" s="22"/>
      <c r="C33" s="17"/>
      <c r="D33" s="21"/>
    </row>
    <row r="34" spans="1:4" ht="15.75">
      <c r="A34" s="6"/>
      <c r="B34" s="7"/>
      <c r="C34" s="7"/>
      <c r="D34" s="21"/>
    </row>
    <row r="35" spans="1:4" ht="15.75">
      <c r="A35" s="35"/>
      <c r="B35" s="44" t="s">
        <v>35</v>
      </c>
      <c r="C35" s="34">
        <f>C10-C12</f>
        <v>-9130.09</v>
      </c>
      <c r="D35" s="21" t="s">
        <v>9</v>
      </c>
    </row>
    <row r="36" spans="1:4" ht="15.75">
      <c r="A36" s="35"/>
      <c r="B36" s="35"/>
      <c r="C36" s="35" t="s">
        <v>41</v>
      </c>
      <c r="D36" s="21"/>
    </row>
    <row r="37" spans="1:4" ht="29.25" customHeight="1">
      <c r="A37" s="48" t="s">
        <v>136</v>
      </c>
      <c r="B37" s="48"/>
      <c r="C37" s="35">
        <v>24222.92</v>
      </c>
      <c r="D37" s="21" t="s">
        <v>9</v>
      </c>
    </row>
    <row r="38" spans="1:4" ht="15.75">
      <c r="A38" s="6"/>
      <c r="B38" s="6"/>
      <c r="C38" s="6"/>
      <c r="D38" s="6"/>
    </row>
    <row r="39" spans="1:4" ht="15.75">
      <c r="A39" s="6"/>
      <c r="B39" s="6"/>
      <c r="C39" s="6"/>
      <c r="D39" s="6"/>
    </row>
  </sheetData>
  <mergeCells count="7">
    <mergeCell ref="A6:C6"/>
    <mergeCell ref="A8:B8"/>
    <mergeCell ref="A37:B3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1.421875" style="0" bestFit="1" customWidth="1"/>
    <col min="4" max="4" width="5.7109375" style="0" bestFit="1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15.75">
      <c r="A5" s="6"/>
      <c r="B5" s="6"/>
      <c r="C5" s="6"/>
      <c r="D5" s="6"/>
    </row>
    <row r="6" spans="1:4" ht="18.75">
      <c r="A6" s="49" t="s">
        <v>264</v>
      </c>
      <c r="B6" s="49"/>
      <c r="C6" s="49"/>
      <c r="D6" s="41"/>
    </row>
    <row r="7" spans="1:4" ht="15.75">
      <c r="A7" s="6"/>
      <c r="B7" s="6"/>
      <c r="C7" s="6"/>
      <c r="D7" s="6"/>
    </row>
    <row r="8" spans="1:4" ht="15.75">
      <c r="A8" s="51" t="s">
        <v>6</v>
      </c>
      <c r="B8" s="51"/>
      <c r="C8" s="32">
        <v>467.5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4721.75*12-2748.96</f>
        <v>53912.04</v>
      </c>
      <c r="D10" s="21" t="s">
        <v>9</v>
      </c>
    </row>
    <row r="11" spans="1:4" ht="15.75">
      <c r="A11" s="10"/>
      <c r="B11" s="13" t="s">
        <v>10</v>
      </c>
      <c r="C11" s="33">
        <v>83.64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132376.58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748*12</f>
        <v>8976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121.55*12</f>
        <v>1458.6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0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836.83*12</f>
        <v>10041.96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453.48*12</f>
        <v>5441.76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710.6*12</f>
        <v>8527.2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SUM(C24:C34)</f>
        <v>97931.06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266</v>
      </c>
      <c r="C24" s="28">
        <f>5118+12564</f>
        <v>17682</v>
      </c>
      <c r="D24" s="21" t="s">
        <v>9</v>
      </c>
    </row>
    <row r="25" spans="1:4" ht="15.75">
      <c r="A25" s="12"/>
      <c r="B25" s="18" t="s">
        <v>265</v>
      </c>
      <c r="C25" s="31">
        <v>3390</v>
      </c>
      <c r="D25" s="21" t="s">
        <v>9</v>
      </c>
    </row>
    <row r="26" spans="1:4" ht="15.75">
      <c r="A26" s="12"/>
      <c r="B26" s="19" t="s">
        <v>267</v>
      </c>
      <c r="C26" s="16">
        <v>1107</v>
      </c>
      <c r="D26" s="21" t="s">
        <v>9</v>
      </c>
    </row>
    <row r="27" spans="1:4" ht="18" customHeight="1">
      <c r="A27" s="12"/>
      <c r="B27" s="19" t="s">
        <v>79</v>
      </c>
      <c r="C27" s="16">
        <v>46734</v>
      </c>
      <c r="D27" s="21" t="s">
        <v>9</v>
      </c>
    </row>
    <row r="28" spans="1:4" ht="15.75">
      <c r="A28" s="11"/>
      <c r="B28" s="22" t="s">
        <v>228</v>
      </c>
      <c r="C28" s="23">
        <f>9593.54+218+5232.84</f>
        <v>15044.38</v>
      </c>
      <c r="D28" s="21" t="s">
        <v>9</v>
      </c>
    </row>
    <row r="29" spans="1:4" ht="15.75">
      <c r="A29" s="11"/>
      <c r="B29" s="19" t="s">
        <v>48</v>
      </c>
      <c r="C29" s="23">
        <v>7341.6</v>
      </c>
      <c r="D29" s="21" t="s">
        <v>9</v>
      </c>
    </row>
    <row r="30" spans="1:4" ht="15.75">
      <c r="A30" s="11"/>
      <c r="B30" s="22" t="s">
        <v>61</v>
      </c>
      <c r="C30" s="23">
        <v>2481.75</v>
      </c>
      <c r="D30" s="21" t="s">
        <v>9</v>
      </c>
    </row>
    <row r="31" spans="1:4" ht="15.75">
      <c r="A31" s="11"/>
      <c r="B31" s="22" t="s">
        <v>91</v>
      </c>
      <c r="C31" s="23">
        <v>175.44</v>
      </c>
      <c r="D31" s="21" t="s">
        <v>9</v>
      </c>
    </row>
    <row r="32" spans="1:4" ht="15.75">
      <c r="A32" s="11"/>
      <c r="B32" s="22" t="s">
        <v>92</v>
      </c>
      <c r="C32" s="23"/>
      <c r="D32" s="21" t="s">
        <v>9</v>
      </c>
    </row>
    <row r="33" spans="1:4" ht="15.75">
      <c r="A33" s="11"/>
      <c r="B33" s="22" t="s">
        <v>134</v>
      </c>
      <c r="C33" s="23">
        <v>3003.27</v>
      </c>
      <c r="D33" s="21" t="s">
        <v>9</v>
      </c>
    </row>
    <row r="34" spans="1:4" ht="15.75">
      <c r="A34" s="11"/>
      <c r="B34" s="22" t="s">
        <v>135</v>
      </c>
      <c r="C34" s="17">
        <v>971.62</v>
      </c>
      <c r="D34" s="21" t="s">
        <v>9</v>
      </c>
    </row>
    <row r="35" spans="1:4" ht="15.75">
      <c r="A35" s="11"/>
      <c r="B35" s="22"/>
      <c r="D35" s="21"/>
    </row>
    <row r="36" spans="1:4" ht="15.75">
      <c r="A36" s="11"/>
      <c r="B36" s="22"/>
      <c r="C36" s="17"/>
      <c r="D36" s="21"/>
    </row>
    <row r="37" spans="1:4" ht="15.75">
      <c r="A37" s="6"/>
      <c r="B37" s="7"/>
      <c r="C37" s="7"/>
      <c r="D37" s="21"/>
    </row>
    <row r="38" spans="1:4" ht="15.75">
      <c r="A38" s="35"/>
      <c r="B38" s="44" t="s">
        <v>35</v>
      </c>
      <c r="C38" s="34">
        <f>C10-C12</f>
        <v>-78464.54</v>
      </c>
      <c r="D38" s="21" t="s">
        <v>9</v>
      </c>
    </row>
    <row r="39" spans="1:4" ht="15.75">
      <c r="A39" s="35"/>
      <c r="B39" s="35"/>
      <c r="C39" s="35" t="s">
        <v>41</v>
      </c>
      <c r="D39" s="21"/>
    </row>
    <row r="40" spans="1:4" ht="31.5" customHeight="1">
      <c r="A40" s="48" t="s">
        <v>136</v>
      </c>
      <c r="B40" s="48"/>
      <c r="C40" s="35">
        <v>13729.43</v>
      </c>
      <c r="D40" s="21" t="s">
        <v>9</v>
      </c>
    </row>
    <row r="41" spans="1:4" ht="15.75">
      <c r="A41" s="6"/>
      <c r="B41" s="6"/>
      <c r="C41" s="6"/>
      <c r="D41" s="6"/>
    </row>
    <row r="42" spans="1:4" ht="15.75">
      <c r="A42" s="6"/>
      <c r="B42" s="6"/>
      <c r="C42" s="6"/>
      <c r="D42" s="6"/>
    </row>
  </sheetData>
  <mergeCells count="7">
    <mergeCell ref="A6:C6"/>
    <mergeCell ref="A8:B8"/>
    <mergeCell ref="A40:B4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2.28125" style="0" customWidth="1"/>
    <col min="3" max="3" width="12.140625" style="0" customWidth="1"/>
    <col min="4" max="4" width="6.574218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268</v>
      </c>
      <c r="B6" s="49"/>
      <c r="C6" s="49"/>
      <c r="D6" s="41"/>
    </row>
    <row r="7" spans="1:4" ht="7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866.8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8945.38*12</f>
        <v>107344.56</v>
      </c>
      <c r="D10" s="21" t="s">
        <v>9</v>
      </c>
    </row>
    <row r="11" spans="1:4" ht="15.75">
      <c r="A11" s="10"/>
      <c r="B11" s="13" t="s">
        <v>10</v>
      </c>
      <c r="C11" s="33">
        <v>84.79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134837.5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1386.88*13</f>
        <v>18029.44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225.37*12</f>
        <v>2704.44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5040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10497.6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1551.57*12</f>
        <v>18618.84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840.8*12</f>
        <v>10089.6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190.7*12</f>
        <v>2288.4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1317.54*12</f>
        <v>15810.48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SUM(C24:C41)</f>
        <v>51758.7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291</v>
      </c>
      <c r="C24" s="31">
        <v>5441</v>
      </c>
      <c r="D24" s="21" t="s">
        <v>9</v>
      </c>
    </row>
    <row r="25" spans="1:4" ht="15.75">
      <c r="A25" s="12"/>
      <c r="B25" s="18" t="s">
        <v>290</v>
      </c>
      <c r="C25" s="31">
        <v>4026</v>
      </c>
      <c r="D25" s="21" t="s">
        <v>9</v>
      </c>
    </row>
    <row r="26" spans="1:4" ht="15" customHeight="1">
      <c r="A26" s="12"/>
      <c r="B26" s="19" t="s">
        <v>160</v>
      </c>
      <c r="C26" s="16">
        <f>2706+3255</f>
        <v>5961</v>
      </c>
      <c r="D26" s="21" t="s">
        <v>9</v>
      </c>
    </row>
    <row r="27" spans="1:4" ht="15.75">
      <c r="A27" s="12"/>
      <c r="B27" s="19" t="s">
        <v>269</v>
      </c>
      <c r="C27" s="16">
        <v>3600</v>
      </c>
      <c r="D27" s="21" t="s">
        <v>9</v>
      </c>
    </row>
    <row r="28" spans="1:4" ht="15.75">
      <c r="A28" s="12"/>
      <c r="B28" s="19" t="s">
        <v>85</v>
      </c>
      <c r="C28" s="16">
        <v>2552</v>
      </c>
      <c r="D28" s="21" t="s">
        <v>9</v>
      </c>
    </row>
    <row r="29" spans="1:4" ht="15.75">
      <c r="A29" s="11"/>
      <c r="B29" s="18" t="s">
        <v>78</v>
      </c>
      <c r="C29" s="23">
        <v>7494</v>
      </c>
      <c r="D29" s="21" t="s">
        <v>9</v>
      </c>
    </row>
    <row r="30" spans="1:4" ht="15.75">
      <c r="A30" s="11"/>
      <c r="B30" s="22" t="s">
        <v>82</v>
      </c>
      <c r="C30" s="23">
        <v>526</v>
      </c>
      <c r="D30" s="21" t="s">
        <v>9</v>
      </c>
    </row>
    <row r="31" spans="1:4" ht="15.75">
      <c r="A31" s="11"/>
      <c r="B31" s="22" t="s">
        <v>292</v>
      </c>
      <c r="C31" s="23">
        <v>645</v>
      </c>
      <c r="D31" s="21" t="s">
        <v>9</v>
      </c>
    </row>
    <row r="32" spans="1:4" ht="15.75">
      <c r="A32" s="11"/>
      <c r="B32" s="22" t="s">
        <v>270</v>
      </c>
      <c r="C32" s="23">
        <v>424.34</v>
      </c>
      <c r="D32" s="21" t="s">
        <v>9</v>
      </c>
    </row>
    <row r="33" spans="1:4" ht="15.75">
      <c r="A33" s="11"/>
      <c r="B33" s="22" t="s">
        <v>37</v>
      </c>
      <c r="C33" s="23">
        <f>180+100</f>
        <v>280</v>
      </c>
      <c r="D33" s="21" t="s">
        <v>9</v>
      </c>
    </row>
    <row r="34" spans="1:4" ht="15.75">
      <c r="A34" s="11"/>
      <c r="B34" s="19" t="s">
        <v>48</v>
      </c>
      <c r="C34" s="23">
        <v>1596</v>
      </c>
      <c r="D34" s="21" t="s">
        <v>9</v>
      </c>
    </row>
    <row r="35" spans="1:4" ht="15.75">
      <c r="A35" s="11"/>
      <c r="B35" s="22" t="s">
        <v>72</v>
      </c>
      <c r="C35" s="23">
        <v>1439.03</v>
      </c>
      <c r="D35" s="21" t="s">
        <v>9</v>
      </c>
    </row>
    <row r="36" spans="1:4" ht="15.75">
      <c r="A36" s="11"/>
      <c r="B36" s="22" t="s">
        <v>74</v>
      </c>
      <c r="C36" s="23">
        <v>1744.3</v>
      </c>
      <c r="D36" s="21" t="s">
        <v>9</v>
      </c>
    </row>
    <row r="37" spans="1:4" ht="15.75">
      <c r="A37" s="11"/>
      <c r="B37" s="22" t="s">
        <v>91</v>
      </c>
      <c r="C37" s="23">
        <v>58.48</v>
      </c>
      <c r="D37" s="21" t="s">
        <v>9</v>
      </c>
    </row>
    <row r="38" spans="1:4" ht="15.75">
      <c r="A38" s="11"/>
      <c r="B38" s="22" t="s">
        <v>134</v>
      </c>
      <c r="C38" s="23">
        <v>8584.85</v>
      </c>
      <c r="D38" s="21" t="s">
        <v>9</v>
      </c>
    </row>
    <row r="39" spans="1:4" ht="15.75">
      <c r="A39" s="11"/>
      <c r="B39" s="22" t="s">
        <v>135</v>
      </c>
      <c r="C39" s="17">
        <v>1457.42</v>
      </c>
      <c r="D39" s="21" t="s">
        <v>9</v>
      </c>
    </row>
    <row r="40" spans="1:4" ht="15.75">
      <c r="A40" s="11"/>
      <c r="B40" s="22" t="s">
        <v>75</v>
      </c>
      <c r="C40" s="17">
        <v>366.28</v>
      </c>
      <c r="D40" s="21" t="s">
        <v>9</v>
      </c>
    </row>
    <row r="41" spans="1:4" ht="48" customHeight="1">
      <c r="A41" s="11"/>
      <c r="B41" s="19" t="s">
        <v>87</v>
      </c>
      <c r="C41" s="23">
        <f>2823+2740</f>
        <v>5563</v>
      </c>
      <c r="D41" s="21" t="s">
        <v>9</v>
      </c>
    </row>
    <row r="42" spans="1:4" ht="15.75">
      <c r="A42" s="11"/>
      <c r="B42" s="22"/>
      <c r="D42" s="21"/>
    </row>
    <row r="43" spans="1:4" ht="15.75">
      <c r="A43" s="35"/>
      <c r="B43" s="44" t="s">
        <v>35</v>
      </c>
      <c r="C43" s="34">
        <f>C10-C12</f>
        <v>-27492.94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2.25" customHeight="1">
      <c r="A45" s="48" t="s">
        <v>136</v>
      </c>
      <c r="B45" s="48"/>
      <c r="C45" s="35">
        <v>37224.04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7109375" style="0" customWidth="1"/>
    <col min="4" max="4" width="9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6" customHeight="1">
      <c r="A5" s="6"/>
      <c r="B5" s="6"/>
      <c r="C5" s="6"/>
      <c r="D5" s="6"/>
    </row>
    <row r="6" spans="1:4" ht="18.75">
      <c r="A6" s="49" t="s">
        <v>271</v>
      </c>
      <c r="B6" s="49"/>
      <c r="C6" s="49"/>
      <c r="D6" s="41"/>
    </row>
    <row r="7" spans="1:4" ht="4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2736.6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25176.72*12</f>
        <v>302120.64</v>
      </c>
      <c r="D10" s="21" t="s">
        <v>9</v>
      </c>
    </row>
    <row r="11" spans="1:4" ht="15.75">
      <c r="A11" s="10"/>
      <c r="B11" s="13" t="s">
        <v>10</v>
      </c>
      <c r="C11" s="33">
        <v>72.3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385909.16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4378.56*12</f>
        <v>52542.72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711.52*12</f>
        <v>8538.24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23601.6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3366.02*12</f>
        <v>40392.24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2654.5*12</f>
        <v>31854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602.05*12</f>
        <v>7224.6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2841.71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4159.63*12</f>
        <v>49915.56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SUM(C24:C44)</f>
        <v>168998.49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3697.85</v>
      </c>
      <c r="D24" s="21" t="s">
        <v>9</v>
      </c>
    </row>
    <row r="25" spans="1:4" ht="15.75">
      <c r="A25" s="12"/>
      <c r="B25" s="19" t="s">
        <v>85</v>
      </c>
      <c r="C25" s="16">
        <v>17848</v>
      </c>
      <c r="D25" s="21" t="s">
        <v>9</v>
      </c>
    </row>
    <row r="26" spans="1:4" ht="15.75">
      <c r="A26" s="12"/>
      <c r="B26" s="19" t="s">
        <v>147</v>
      </c>
      <c r="C26" s="16">
        <v>487.68</v>
      </c>
      <c r="D26" s="21" t="s">
        <v>9</v>
      </c>
    </row>
    <row r="27" spans="1:4" ht="15.75">
      <c r="A27" s="11"/>
      <c r="B27" s="22" t="s">
        <v>67</v>
      </c>
      <c r="C27" s="23">
        <v>1357.5</v>
      </c>
      <c r="D27" s="21" t="s">
        <v>9</v>
      </c>
    </row>
    <row r="28" spans="1:4" ht="15.75">
      <c r="A28" s="11"/>
      <c r="B28" s="22" t="s">
        <v>272</v>
      </c>
      <c r="C28" s="23">
        <v>1442.42</v>
      </c>
      <c r="D28" s="21" t="s">
        <v>9</v>
      </c>
    </row>
    <row r="29" spans="1:4" ht="15.75">
      <c r="A29" s="11"/>
      <c r="B29" s="22" t="s">
        <v>81</v>
      </c>
      <c r="C29" s="23">
        <v>3923.11</v>
      </c>
      <c r="D29" s="21" t="s">
        <v>9</v>
      </c>
    </row>
    <row r="30" spans="1:4" ht="15.75">
      <c r="A30" s="11"/>
      <c r="B30" s="22" t="s">
        <v>82</v>
      </c>
      <c r="C30" s="23">
        <v>1052</v>
      </c>
      <c r="D30" s="21" t="s">
        <v>9</v>
      </c>
    </row>
    <row r="31" spans="1:4" ht="15.75">
      <c r="A31" s="11"/>
      <c r="B31" s="22" t="s">
        <v>43</v>
      </c>
      <c r="C31" s="23">
        <v>9244.68</v>
      </c>
      <c r="D31" s="21" t="s">
        <v>9</v>
      </c>
    </row>
    <row r="32" spans="1:4" ht="15.75">
      <c r="A32" s="11"/>
      <c r="B32" s="22" t="s">
        <v>273</v>
      </c>
      <c r="C32" s="23">
        <v>2616.42</v>
      </c>
      <c r="D32" s="21" t="s">
        <v>9</v>
      </c>
    </row>
    <row r="33" spans="1:4" ht="15.75">
      <c r="A33" s="11"/>
      <c r="B33" s="22" t="s">
        <v>293</v>
      </c>
      <c r="C33" s="23">
        <v>42457</v>
      </c>
      <c r="D33" s="21" t="s">
        <v>9</v>
      </c>
    </row>
    <row r="34" spans="1:4" ht="15.75">
      <c r="A34" s="11"/>
      <c r="B34" s="19" t="s">
        <v>48</v>
      </c>
      <c r="C34" s="23">
        <v>3192</v>
      </c>
      <c r="D34" s="21" t="s">
        <v>9</v>
      </c>
    </row>
    <row r="35" spans="1:4" ht="15.75">
      <c r="A35" s="11"/>
      <c r="B35" s="22" t="s">
        <v>61</v>
      </c>
      <c r="C35" s="23">
        <v>2481.75</v>
      </c>
      <c r="D35" s="21" t="s">
        <v>9</v>
      </c>
    </row>
    <row r="36" spans="1:4" ht="15.75">
      <c r="A36" s="11"/>
      <c r="B36" s="22" t="s">
        <v>72</v>
      </c>
      <c r="C36" s="23">
        <f>1439.03+1439.03+436</f>
        <v>3314.06</v>
      </c>
      <c r="D36" s="21" t="s">
        <v>9</v>
      </c>
    </row>
    <row r="37" spans="1:4" ht="15.75">
      <c r="A37" s="11"/>
      <c r="B37" s="22" t="s">
        <v>74</v>
      </c>
      <c r="C37" s="23">
        <v>872.15</v>
      </c>
      <c r="D37" s="21" t="s">
        <v>9</v>
      </c>
    </row>
    <row r="38" spans="1:4" ht="15.75">
      <c r="A38" s="11"/>
      <c r="B38" s="22" t="s">
        <v>91</v>
      </c>
      <c r="C38" s="23">
        <v>116.96</v>
      </c>
      <c r="D38" s="21" t="s">
        <v>9</v>
      </c>
    </row>
    <row r="39" spans="1:4" ht="15.75">
      <c r="A39" s="11"/>
      <c r="B39" s="22" t="s">
        <v>92</v>
      </c>
      <c r="C39" s="23">
        <f>4356.45+3244.32+1962.3+784.92</f>
        <v>10347.99</v>
      </c>
      <c r="D39" s="21" t="s">
        <v>9</v>
      </c>
    </row>
    <row r="40" spans="1:4" ht="15.75">
      <c r="A40" s="11"/>
      <c r="B40" s="22" t="s">
        <v>134</v>
      </c>
      <c r="C40" s="23">
        <v>21190.57</v>
      </c>
      <c r="D40" s="21" t="s">
        <v>9</v>
      </c>
    </row>
    <row r="41" spans="1:4" ht="15.75">
      <c r="A41" s="11"/>
      <c r="B41" s="22" t="s">
        <v>135</v>
      </c>
      <c r="C41" s="17">
        <v>4946.38</v>
      </c>
      <c r="D41" s="21" t="s">
        <v>9</v>
      </c>
    </row>
    <row r="42" spans="1:4" ht="15.75">
      <c r="A42" s="11"/>
      <c r="B42" s="22" t="s">
        <v>93</v>
      </c>
      <c r="C42" s="17">
        <v>244</v>
      </c>
      <c r="D42" s="21" t="s">
        <v>9</v>
      </c>
    </row>
    <row r="43" spans="1:4" ht="15.75">
      <c r="A43" s="11"/>
      <c r="B43" s="22" t="s">
        <v>75</v>
      </c>
      <c r="C43" s="17">
        <v>457.85</v>
      </c>
      <c r="D43" s="21" t="s">
        <v>9</v>
      </c>
    </row>
    <row r="44" spans="1:4" ht="46.5" customHeight="1">
      <c r="A44" s="11"/>
      <c r="B44" s="19" t="s">
        <v>87</v>
      </c>
      <c r="C44" s="17">
        <f>15301.12+22407</f>
        <v>37708.12</v>
      </c>
      <c r="D44" s="21" t="s">
        <v>9</v>
      </c>
    </row>
    <row r="45" spans="1:4" ht="15.75">
      <c r="A45" s="11"/>
      <c r="B45" s="22"/>
      <c r="D45" s="21"/>
    </row>
    <row r="46" spans="1:4" ht="15.75">
      <c r="A46" s="35"/>
      <c r="B46" s="44" t="s">
        <v>35</v>
      </c>
      <c r="C46" s="34">
        <f>C10-C12</f>
        <v>-83788.52</v>
      </c>
      <c r="D46" s="21" t="s">
        <v>9</v>
      </c>
    </row>
    <row r="47" spans="1:4" ht="15.75">
      <c r="A47" s="35"/>
      <c r="B47" s="35"/>
      <c r="C47" s="35" t="s">
        <v>41</v>
      </c>
      <c r="D47" s="21"/>
    </row>
    <row r="48" spans="1:4" ht="30.75" customHeight="1">
      <c r="A48" s="48" t="s">
        <v>136</v>
      </c>
      <c r="B48" s="48"/>
      <c r="C48" s="35">
        <v>229096.06</v>
      </c>
      <c r="D48" s="21" t="s">
        <v>9</v>
      </c>
    </row>
    <row r="49" spans="1:4" ht="15.75">
      <c r="A49" s="6"/>
      <c r="B49" s="6"/>
      <c r="C49" s="6"/>
      <c r="D49" s="6"/>
    </row>
    <row r="50" spans="1:4" ht="15.75">
      <c r="A50" s="6"/>
      <c r="B50" s="6"/>
      <c r="C50" s="6"/>
      <c r="D50" s="6"/>
    </row>
  </sheetData>
  <mergeCells count="7">
    <mergeCell ref="A6:C6"/>
    <mergeCell ref="A8:B8"/>
    <mergeCell ref="A48:B48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56.57421875" style="0" customWidth="1"/>
    <col min="3" max="3" width="11.0039062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58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189.8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1326.7*12</f>
        <v>15920.4</v>
      </c>
      <c r="D10" s="21" t="s">
        <v>9</v>
      </c>
    </row>
    <row r="11" spans="1:4" ht="15.75">
      <c r="A11" s="10"/>
      <c r="B11" s="13" t="s">
        <v>10</v>
      </c>
      <c r="C11" s="33">
        <v>90.92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15877.58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132.86*12</f>
        <v>1594.32</v>
      </c>
      <c r="D13" s="21" t="s">
        <v>9</v>
      </c>
    </row>
    <row r="14" spans="1:4" ht="31.5">
      <c r="A14" s="12" t="s">
        <v>25</v>
      </c>
      <c r="B14" s="13" t="s">
        <v>14</v>
      </c>
      <c r="C14" s="14">
        <f>49.35*12</f>
        <v>592.2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0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0</v>
      </c>
      <c r="D16" s="21" t="s">
        <v>9</v>
      </c>
    </row>
    <row r="17" spans="1:4" ht="31.5">
      <c r="A17" s="38" t="s">
        <v>28</v>
      </c>
      <c r="B17" s="13" t="s">
        <v>16</v>
      </c>
      <c r="C17" s="14">
        <f>176.51*12</f>
        <v>2118.12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v>4759.13</v>
      </c>
      <c r="D18" s="21" t="s">
        <v>9</v>
      </c>
    </row>
    <row r="19" spans="1:4" ht="31.5">
      <c r="A19" s="38" t="s">
        <v>30</v>
      </c>
      <c r="B19" s="13" t="s">
        <v>18</v>
      </c>
      <c r="C19" s="27">
        <v>0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288.5*12</f>
        <v>3462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</f>
        <v>3351.81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8" t="s">
        <v>281</v>
      </c>
      <c r="C24" s="15">
        <v>176.55</v>
      </c>
      <c r="D24" s="21" t="s">
        <v>9</v>
      </c>
    </row>
    <row r="25" spans="1:4" ht="15.75">
      <c r="A25" s="12"/>
      <c r="B25" s="19" t="s">
        <v>57</v>
      </c>
      <c r="C25" s="16">
        <v>109</v>
      </c>
      <c r="D25" s="21" t="s">
        <v>9</v>
      </c>
    </row>
    <row r="26" spans="1:4" ht="15.75">
      <c r="A26" s="11"/>
      <c r="B26" s="22" t="s">
        <v>134</v>
      </c>
      <c r="C26" s="23">
        <v>2801.27</v>
      </c>
      <c r="D26" s="21" t="s">
        <v>9</v>
      </c>
    </row>
    <row r="27" spans="1:4" ht="15.75">
      <c r="A27" s="6"/>
      <c r="B27" s="22" t="s">
        <v>135</v>
      </c>
      <c r="C27" s="17">
        <v>264.99</v>
      </c>
      <c r="D27" s="21" t="s">
        <v>9</v>
      </c>
    </row>
    <row r="28" spans="1:3" ht="15.75">
      <c r="A28" s="6"/>
      <c r="B28" s="19"/>
      <c r="C28" s="17"/>
    </row>
    <row r="29" spans="1:3" ht="15.75">
      <c r="A29" s="6"/>
      <c r="B29" s="19"/>
      <c r="C29" s="17"/>
    </row>
    <row r="30" spans="1:4" ht="15.75">
      <c r="A30" s="35"/>
      <c r="B30" s="44" t="s">
        <v>35</v>
      </c>
      <c r="C30" s="34">
        <f>C10-C12</f>
        <v>42.82</v>
      </c>
      <c r="D30" s="21" t="s">
        <v>9</v>
      </c>
    </row>
    <row r="31" spans="1:3" ht="15.75">
      <c r="A31" s="35"/>
      <c r="B31" s="35"/>
      <c r="C31" s="35" t="s">
        <v>41</v>
      </c>
    </row>
    <row r="32" spans="1:4" ht="30" customHeight="1">
      <c r="A32" s="48" t="s">
        <v>136</v>
      </c>
      <c r="B32" s="48"/>
      <c r="C32" s="34">
        <v>0</v>
      </c>
      <c r="D32" s="21" t="s">
        <v>9</v>
      </c>
    </row>
    <row r="33" spans="1:3" ht="15.75">
      <c r="A33" s="6"/>
      <c r="B33" s="6"/>
      <c r="C33" s="6"/>
    </row>
    <row r="34" spans="1:3" ht="15.75">
      <c r="A34" s="6"/>
      <c r="B34" s="6"/>
      <c r="C34" s="6"/>
    </row>
    <row r="35" spans="1:3" ht="15.75">
      <c r="A35" s="6"/>
      <c r="B35" s="6"/>
      <c r="C35" s="6"/>
    </row>
    <row r="36" spans="1:3" ht="15.75">
      <c r="A36" s="6"/>
      <c r="B36" s="6"/>
      <c r="C36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" sqref="E1:E16384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42187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7.5" customHeight="1">
      <c r="A5" s="6"/>
      <c r="B5" s="6"/>
      <c r="C5" s="6"/>
      <c r="D5" s="6"/>
    </row>
    <row r="6" spans="1:4" ht="18.75">
      <c r="A6" s="49" t="s">
        <v>275</v>
      </c>
      <c r="B6" s="49"/>
      <c r="C6" s="49"/>
      <c r="D6" s="41"/>
    </row>
    <row r="7" spans="1:4" ht="4.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2870.06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29619.02*12</f>
        <v>355428.24</v>
      </c>
      <c r="D10" s="21" t="s">
        <v>9</v>
      </c>
    </row>
    <row r="11" spans="1:4" ht="15.75">
      <c r="A11" s="10"/>
      <c r="B11" s="13" t="s">
        <v>10</v>
      </c>
      <c r="C11" s="33">
        <v>89.38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354009.63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4592.1*12</f>
        <v>55105.2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746.22*12</f>
        <v>8954.64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14400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17049.6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5137.41*12</f>
        <v>61648.92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2783.96*12</f>
        <v>33407.52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f>631.41*12</f>
        <v>7576.92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4362.49*12</f>
        <v>52349.88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SUM(C24:C39)</f>
        <v>103516.95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950.58</v>
      </c>
      <c r="D24" s="21" t="s">
        <v>9</v>
      </c>
    </row>
    <row r="25" spans="1:4" ht="15.75">
      <c r="A25" s="12"/>
      <c r="B25" s="19" t="s">
        <v>276</v>
      </c>
      <c r="C25" s="16">
        <v>1816</v>
      </c>
      <c r="D25" s="21" t="s">
        <v>9</v>
      </c>
    </row>
    <row r="26" spans="1:4" ht="15.75">
      <c r="A26" s="12"/>
      <c r="B26" s="19" t="s">
        <v>85</v>
      </c>
      <c r="C26" s="16">
        <f>501.4+4656+1279.66</f>
        <v>6437.06</v>
      </c>
      <c r="D26" s="21" t="s">
        <v>9</v>
      </c>
    </row>
    <row r="27" spans="1:4" ht="15.75">
      <c r="A27" s="12"/>
      <c r="B27" s="19" t="s">
        <v>147</v>
      </c>
      <c r="C27" s="16">
        <f>4766</f>
        <v>4766</v>
      </c>
      <c r="D27" s="21" t="s">
        <v>9</v>
      </c>
    </row>
    <row r="28" spans="1:4" ht="15.75">
      <c r="A28" s="12"/>
      <c r="B28" s="19" t="s">
        <v>199</v>
      </c>
      <c r="C28" s="16">
        <v>33170</v>
      </c>
      <c r="D28" s="21" t="s">
        <v>9</v>
      </c>
    </row>
    <row r="29" spans="1:4" ht="15.75">
      <c r="A29" s="11"/>
      <c r="B29" s="22" t="s">
        <v>66</v>
      </c>
      <c r="C29" s="23">
        <v>4400</v>
      </c>
      <c r="D29" s="21" t="s">
        <v>9</v>
      </c>
    </row>
    <row r="30" spans="1:4" ht="15.75">
      <c r="A30" s="11"/>
      <c r="B30" s="22" t="s">
        <v>67</v>
      </c>
      <c r="C30" s="23">
        <v>271.5</v>
      </c>
      <c r="D30" s="21" t="s">
        <v>9</v>
      </c>
    </row>
    <row r="31" spans="1:4" ht="15.75">
      <c r="A31" s="11"/>
      <c r="B31" s="22" t="s">
        <v>37</v>
      </c>
      <c r="C31" s="23">
        <v>312</v>
      </c>
      <c r="D31" s="21" t="s">
        <v>9</v>
      </c>
    </row>
    <row r="32" spans="1:4" ht="15.75">
      <c r="A32" s="11"/>
      <c r="B32" s="19" t="s">
        <v>48</v>
      </c>
      <c r="C32" s="23">
        <v>1596</v>
      </c>
      <c r="D32" s="21" t="s">
        <v>9</v>
      </c>
    </row>
    <row r="33" spans="1:4" ht="15.75">
      <c r="A33" s="11"/>
      <c r="B33" s="22" t="s">
        <v>61</v>
      </c>
      <c r="C33" s="23">
        <v>2481.75</v>
      </c>
      <c r="D33" s="21" t="s">
        <v>9</v>
      </c>
    </row>
    <row r="34" spans="1:4" ht="15.75">
      <c r="A34" s="11"/>
      <c r="B34" s="22" t="s">
        <v>74</v>
      </c>
      <c r="C34" s="23">
        <v>1046.58</v>
      </c>
      <c r="D34" s="21" t="s">
        <v>9</v>
      </c>
    </row>
    <row r="35" spans="1:4" ht="15.75">
      <c r="A35" s="11"/>
      <c r="B35" s="22" t="s">
        <v>92</v>
      </c>
      <c r="C35" s="23">
        <f>7099.4+2973.96+3139.68+2581.6</f>
        <v>15794.64</v>
      </c>
      <c r="D35" s="21" t="s">
        <v>9</v>
      </c>
    </row>
    <row r="36" spans="1:4" ht="15.75">
      <c r="A36" s="11"/>
      <c r="B36" s="22" t="s">
        <v>134</v>
      </c>
      <c r="C36" s="23">
        <v>19168.7</v>
      </c>
      <c r="D36" s="21" t="s">
        <v>9</v>
      </c>
    </row>
    <row r="37" spans="1:4" ht="15.75">
      <c r="A37" s="11"/>
      <c r="B37" s="22" t="s">
        <v>135</v>
      </c>
      <c r="C37" s="17">
        <v>4769.74</v>
      </c>
      <c r="D37" s="21" t="s">
        <v>9</v>
      </c>
    </row>
    <row r="38" spans="1:4" ht="15.75">
      <c r="A38" s="11"/>
      <c r="B38" s="22" t="s">
        <v>75</v>
      </c>
      <c r="C38" s="17">
        <v>549.42</v>
      </c>
      <c r="D38" s="21" t="s">
        <v>9</v>
      </c>
    </row>
    <row r="39" spans="1:4" ht="48" customHeight="1">
      <c r="A39" s="11"/>
      <c r="B39" s="19" t="s">
        <v>87</v>
      </c>
      <c r="C39" s="17">
        <f>1247+4739.98</f>
        <v>5986.98</v>
      </c>
      <c r="D39" s="21" t="s">
        <v>9</v>
      </c>
    </row>
    <row r="40" spans="1:4" ht="15.75">
      <c r="A40" s="11"/>
      <c r="B40" s="22"/>
      <c r="D40" s="21"/>
    </row>
    <row r="41" spans="1:4" ht="15.75">
      <c r="A41" s="35"/>
      <c r="B41" s="44" t="s">
        <v>35</v>
      </c>
      <c r="C41" s="34">
        <f>C10-C12</f>
        <v>1418.61</v>
      </c>
      <c r="D41" s="21" t="s">
        <v>9</v>
      </c>
    </row>
    <row r="42" spans="1:4" ht="15.75">
      <c r="A42" s="35"/>
      <c r="B42" s="35"/>
      <c r="C42" s="35" t="s">
        <v>41</v>
      </c>
      <c r="D42" s="21"/>
    </row>
    <row r="43" spans="1:4" ht="33" customHeight="1">
      <c r="A43" s="48" t="s">
        <v>136</v>
      </c>
      <c r="B43" s="48"/>
      <c r="C43" s="35">
        <v>29880.18</v>
      </c>
      <c r="D43" s="21" t="s">
        <v>9</v>
      </c>
    </row>
    <row r="44" spans="1:4" ht="15.75">
      <c r="A44" s="6"/>
      <c r="B44" s="6"/>
      <c r="C44" s="6"/>
      <c r="D44" s="6"/>
    </row>
    <row r="45" spans="1:4" ht="15.75">
      <c r="A45" s="6"/>
      <c r="B45" s="6"/>
      <c r="C45" s="6"/>
      <c r="D45" s="6"/>
    </row>
  </sheetData>
  <mergeCells count="7">
    <mergeCell ref="A6:C6"/>
    <mergeCell ref="A8:B8"/>
    <mergeCell ref="A43:B43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9">
      <selection activeCell="J53" sqref="J53"/>
    </sheetView>
  </sheetViews>
  <sheetFormatPr defaultColWidth="9.140625" defaultRowHeight="12.75"/>
  <cols>
    <col min="1" max="1" width="5.57421875" style="0" bestFit="1" customWidth="1"/>
    <col min="2" max="2" width="60.57421875" style="0" bestFit="1" customWidth="1"/>
    <col min="3" max="3" width="13.8515625" style="0" customWidth="1"/>
    <col min="4" max="4" width="7.7109375" style="0" customWidth="1"/>
    <col min="5" max="5" width="5.57421875" style="0" bestFit="1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4" ht="8.25" customHeight="1">
      <c r="A5" s="6"/>
      <c r="B5" s="6"/>
      <c r="C5" s="6"/>
      <c r="D5" s="6"/>
    </row>
    <row r="6" spans="1:4" ht="18.75">
      <c r="A6" s="49" t="s">
        <v>274</v>
      </c>
      <c r="B6" s="49"/>
      <c r="C6" s="49"/>
      <c r="D6" s="41"/>
    </row>
    <row r="7" spans="1:4" ht="6.75" customHeight="1">
      <c r="A7" s="6"/>
      <c r="B7" s="6"/>
      <c r="C7" s="6"/>
      <c r="D7" s="6"/>
    </row>
    <row r="8" spans="1:4" ht="15.75">
      <c r="A8" s="51" t="s">
        <v>6</v>
      </c>
      <c r="B8" s="51"/>
      <c r="C8" s="32">
        <v>1952.6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19721.26*12</f>
        <v>236655.12</v>
      </c>
      <c r="D10" s="21" t="s">
        <v>9</v>
      </c>
    </row>
    <row r="11" spans="1:4" ht="15.75">
      <c r="A11" s="10"/>
      <c r="B11" s="13" t="s">
        <v>10</v>
      </c>
      <c r="C11" s="33">
        <v>90.82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258938.45</v>
      </c>
      <c r="D12" s="21" t="s">
        <v>9</v>
      </c>
    </row>
    <row r="13" spans="1:5" ht="15.75">
      <c r="A13" s="12" t="s">
        <v>24</v>
      </c>
      <c r="B13" s="13" t="s">
        <v>13</v>
      </c>
      <c r="C13" s="14">
        <f>3124.16*12</f>
        <v>37489.92</v>
      </c>
      <c r="D13" s="21" t="s">
        <v>9</v>
      </c>
      <c r="E13" s="29"/>
    </row>
    <row r="14" spans="1:5" ht="15.75">
      <c r="A14" s="12" t="s">
        <v>25</v>
      </c>
      <c r="B14" s="13" t="s">
        <v>14</v>
      </c>
      <c r="C14" s="14">
        <f>507.68*12</f>
        <v>6092.16</v>
      </c>
      <c r="D14" s="21" t="s">
        <v>9</v>
      </c>
      <c r="E14" s="29"/>
    </row>
    <row r="15" spans="1:5" ht="15.75">
      <c r="A15" s="12" t="s">
        <v>26</v>
      </c>
      <c r="B15" s="13" t="s">
        <v>15</v>
      </c>
      <c r="C15" s="14">
        <v>25920</v>
      </c>
      <c r="D15" s="21" t="s">
        <v>9</v>
      </c>
      <c r="E15" s="29"/>
    </row>
    <row r="16" spans="1:5" ht="15.75">
      <c r="A16" s="12" t="s">
        <v>27</v>
      </c>
      <c r="B16" s="13" t="s">
        <v>0</v>
      </c>
      <c r="C16" s="14">
        <v>17049.6</v>
      </c>
      <c r="D16" s="21" t="s">
        <v>9</v>
      </c>
      <c r="E16" s="29"/>
    </row>
    <row r="17" spans="1:5" ht="31.5">
      <c r="A17" s="38" t="s">
        <v>28</v>
      </c>
      <c r="B17" s="13" t="s">
        <v>16</v>
      </c>
      <c r="C17" s="14">
        <f>3495.15*12</f>
        <v>41941.8</v>
      </c>
      <c r="D17" s="21" t="s">
        <v>9</v>
      </c>
      <c r="E17" s="29"/>
    </row>
    <row r="18" spans="1:5" ht="15.75">
      <c r="A18" s="38" t="s">
        <v>29</v>
      </c>
      <c r="B18" s="13" t="s">
        <v>17</v>
      </c>
      <c r="C18" s="14">
        <f>1894.02*12</f>
        <v>22728.24</v>
      </c>
      <c r="D18" s="21" t="s">
        <v>9</v>
      </c>
      <c r="E18" s="29"/>
    </row>
    <row r="19" spans="1:5" ht="31.5">
      <c r="A19" s="38" t="s">
        <v>30</v>
      </c>
      <c r="B19" s="13" t="s">
        <v>18</v>
      </c>
      <c r="C19" s="14">
        <v>0</v>
      </c>
      <c r="D19" s="21" t="s">
        <v>9</v>
      </c>
      <c r="E19" s="29"/>
    </row>
    <row r="20" spans="1:5" ht="15.75">
      <c r="A20" s="12" t="s">
        <v>31</v>
      </c>
      <c r="B20" s="13" t="s">
        <v>22</v>
      </c>
      <c r="C20" s="14">
        <v>0</v>
      </c>
      <c r="D20" s="21" t="s">
        <v>9</v>
      </c>
      <c r="E20" s="29"/>
    </row>
    <row r="21" spans="1:5" ht="15.75">
      <c r="A21" s="12" t="s">
        <v>32</v>
      </c>
      <c r="B21" s="13" t="s">
        <v>19</v>
      </c>
      <c r="C21" s="14">
        <f>2967.95*12</f>
        <v>35615.4</v>
      </c>
      <c r="D21" s="21" t="s">
        <v>9</v>
      </c>
      <c r="E21" s="29"/>
    </row>
    <row r="22" spans="1:5" ht="15.75">
      <c r="A22" s="12" t="s">
        <v>33</v>
      </c>
      <c r="B22" s="13" t="s">
        <v>20</v>
      </c>
      <c r="C22" s="30">
        <f>SUM(C24:C39)</f>
        <v>72101.33</v>
      </c>
      <c r="D22" s="21" t="s">
        <v>9</v>
      </c>
      <c r="E22" s="29"/>
    </row>
    <row r="23" spans="1:5" ht="15.75">
      <c r="A23" s="12"/>
      <c r="B23" s="47" t="s">
        <v>23</v>
      </c>
      <c r="C23" s="6"/>
      <c r="D23" s="21"/>
      <c r="E23" s="29"/>
    </row>
    <row r="24" spans="1:4" ht="15.75">
      <c r="A24" s="12"/>
      <c r="B24" s="18" t="s">
        <v>64</v>
      </c>
      <c r="C24" s="28">
        <v>959.82</v>
      </c>
      <c r="D24" s="21" t="s">
        <v>9</v>
      </c>
    </row>
    <row r="25" spans="1:4" ht="15.75">
      <c r="A25" s="12"/>
      <c r="B25" s="19" t="s">
        <v>157</v>
      </c>
      <c r="C25" s="16">
        <f>13236+4517</f>
        <v>17753</v>
      </c>
      <c r="D25" s="21" t="s">
        <v>9</v>
      </c>
    </row>
    <row r="26" spans="1:4" ht="15.75">
      <c r="A26" s="12"/>
      <c r="B26" s="19" t="s">
        <v>85</v>
      </c>
      <c r="C26" s="16">
        <f>6394</f>
        <v>6394</v>
      </c>
      <c r="D26" s="21" t="s">
        <v>9</v>
      </c>
    </row>
    <row r="27" spans="1:4" ht="15.75">
      <c r="A27" s="12"/>
      <c r="B27" s="19" t="s">
        <v>199</v>
      </c>
      <c r="C27" s="16">
        <f>1022</f>
        <v>1022</v>
      </c>
      <c r="D27" s="21" t="s">
        <v>9</v>
      </c>
    </row>
    <row r="28" spans="1:4" ht="15.75">
      <c r="A28" s="11"/>
      <c r="B28" s="22" t="s">
        <v>67</v>
      </c>
      <c r="C28" s="23">
        <v>548.24</v>
      </c>
      <c r="D28" s="21" t="s">
        <v>9</v>
      </c>
    </row>
    <row r="29" spans="1:4" ht="15.75">
      <c r="A29" s="11"/>
      <c r="B29" s="22" t="s">
        <v>240</v>
      </c>
      <c r="C29" s="23">
        <v>938</v>
      </c>
      <c r="D29" s="21" t="s">
        <v>9</v>
      </c>
    </row>
    <row r="30" spans="1:4" ht="15.75">
      <c r="A30" s="11"/>
      <c r="B30" s="22" t="s">
        <v>37</v>
      </c>
      <c r="C30" s="23">
        <v>216</v>
      </c>
      <c r="D30" s="21" t="s">
        <v>9</v>
      </c>
    </row>
    <row r="31" spans="1:4" ht="15.75">
      <c r="A31" s="11"/>
      <c r="B31" s="22" t="s">
        <v>61</v>
      </c>
      <c r="C31" s="23">
        <v>4136.25</v>
      </c>
      <c r="D31" s="21" t="s">
        <v>9</v>
      </c>
    </row>
    <row r="32" spans="1:4" ht="15.75">
      <c r="A32" s="11"/>
      <c r="B32" s="22" t="s">
        <v>72</v>
      </c>
      <c r="C32" s="23">
        <f>719.52+2878.06</f>
        <v>3597.58</v>
      </c>
      <c r="D32" s="21" t="s">
        <v>9</v>
      </c>
    </row>
    <row r="33" spans="1:4" ht="15.75">
      <c r="A33" s="11"/>
      <c r="B33" s="22" t="s">
        <v>74</v>
      </c>
      <c r="C33" s="23">
        <f>2442.02+1090+523.29</f>
        <v>4055.31</v>
      </c>
      <c r="D33" s="21" t="s">
        <v>9</v>
      </c>
    </row>
    <row r="34" spans="1:4" ht="15.75">
      <c r="A34" s="11"/>
      <c r="B34" s="22" t="s">
        <v>91</v>
      </c>
      <c r="C34" s="23">
        <f>350.88+406.17</f>
        <v>757.05</v>
      </c>
      <c r="D34" s="21" t="s">
        <v>9</v>
      </c>
    </row>
    <row r="35" spans="1:4" ht="15.75">
      <c r="A35" s="11"/>
      <c r="B35" s="22" t="s">
        <v>92</v>
      </c>
      <c r="C35" s="23">
        <f>3227+5272.02</f>
        <v>8499.02</v>
      </c>
      <c r="D35" s="21" t="s">
        <v>9</v>
      </c>
    </row>
    <row r="36" spans="1:4" ht="15.75">
      <c r="A36" s="11"/>
      <c r="B36" s="22" t="s">
        <v>134</v>
      </c>
      <c r="C36" s="23">
        <v>14774.32</v>
      </c>
      <c r="D36" s="21" t="s">
        <v>9</v>
      </c>
    </row>
    <row r="37" spans="1:4" ht="15.75">
      <c r="A37" s="11"/>
      <c r="B37" s="22" t="s">
        <v>135</v>
      </c>
      <c r="C37" s="17">
        <v>3886.44</v>
      </c>
      <c r="D37" s="21" t="s">
        <v>9</v>
      </c>
    </row>
    <row r="38" spans="1:4" ht="15.75">
      <c r="A38" s="11"/>
      <c r="B38" s="22" t="s">
        <v>75</v>
      </c>
      <c r="C38" s="17">
        <v>1007.27</v>
      </c>
      <c r="D38" s="21" t="s">
        <v>9</v>
      </c>
    </row>
    <row r="39" spans="1:4" ht="47.25" customHeight="1">
      <c r="A39" s="11"/>
      <c r="B39" s="19" t="s">
        <v>87</v>
      </c>
      <c r="C39" s="17">
        <v>3557.03</v>
      </c>
      <c r="D39" s="21" t="s">
        <v>9</v>
      </c>
    </row>
    <row r="40" spans="1:4" ht="15.75">
      <c r="A40" s="11"/>
      <c r="B40" s="22"/>
      <c r="D40" s="21"/>
    </row>
    <row r="41" spans="1:4" ht="15.75">
      <c r="A41" s="11"/>
      <c r="B41" s="22"/>
      <c r="C41" s="17"/>
      <c r="D41" s="21"/>
    </row>
    <row r="42" spans="1:4" ht="15.75">
      <c r="A42" s="6"/>
      <c r="B42" s="7"/>
      <c r="C42" s="7"/>
      <c r="D42" s="21"/>
    </row>
    <row r="43" spans="1:4" ht="15.75">
      <c r="A43" s="35"/>
      <c r="B43" s="44" t="s">
        <v>35</v>
      </c>
      <c r="C43" s="34">
        <f>C10-C12</f>
        <v>-22283.33</v>
      </c>
      <c r="D43" s="21" t="s">
        <v>9</v>
      </c>
    </row>
    <row r="44" spans="1:4" ht="15.75">
      <c r="A44" s="35"/>
      <c r="B44" s="35"/>
      <c r="C44" s="35" t="s">
        <v>41</v>
      </c>
      <c r="D44" s="21"/>
    </row>
    <row r="45" spans="1:4" ht="31.5" customHeight="1">
      <c r="A45" s="48" t="s">
        <v>136</v>
      </c>
      <c r="B45" s="48"/>
      <c r="C45" s="35">
        <v>9468.84</v>
      </c>
      <c r="D45" s="21" t="s">
        <v>9</v>
      </c>
    </row>
    <row r="46" spans="1:4" ht="15.75">
      <c r="A46" s="6"/>
      <c r="B46" s="6"/>
      <c r="C46" s="6"/>
      <c r="D46" s="6"/>
    </row>
    <row r="47" spans="1:4" ht="15.75">
      <c r="A47" s="6"/>
      <c r="B47" s="6"/>
      <c r="C47" s="6"/>
      <c r="D47" s="6"/>
    </row>
  </sheetData>
  <mergeCells count="7">
    <mergeCell ref="A6:C6"/>
    <mergeCell ref="A8:B8"/>
    <mergeCell ref="A45:B45"/>
    <mergeCell ref="A1:C1"/>
    <mergeCell ref="A2:C2"/>
    <mergeCell ref="A3:C3"/>
    <mergeCell ref="A4:C4"/>
  </mergeCells>
  <printOptions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">
      <selection activeCell="F34" sqref="F34"/>
    </sheetView>
  </sheetViews>
  <sheetFormatPr defaultColWidth="9.140625" defaultRowHeight="12.75"/>
  <cols>
    <col min="1" max="1" width="5.57421875" style="0" customWidth="1"/>
    <col min="2" max="2" width="59.421875" style="0" customWidth="1"/>
    <col min="3" max="3" width="15.57421875" style="0" customWidth="1"/>
    <col min="4" max="4" width="8.140625" style="0" customWidth="1"/>
    <col min="5" max="5" width="5.57421875" style="0" customWidth="1"/>
    <col min="6" max="6" width="12.140625" style="0" customWidth="1"/>
    <col min="7" max="7" width="15.00390625" style="0" customWidth="1"/>
  </cols>
  <sheetData>
    <row r="1" spans="1:4" ht="15.75">
      <c r="A1" s="50" t="s">
        <v>1</v>
      </c>
      <c r="B1" s="50"/>
      <c r="C1" s="50"/>
      <c r="D1" s="40"/>
    </row>
    <row r="2" spans="1:4" ht="15.75">
      <c r="A2" s="50" t="s">
        <v>2</v>
      </c>
      <c r="B2" s="50"/>
      <c r="C2" s="50"/>
      <c r="D2" s="40"/>
    </row>
    <row r="3" spans="1:4" ht="15.75">
      <c r="A3" s="50" t="s">
        <v>3</v>
      </c>
      <c r="B3" s="50"/>
      <c r="C3" s="50"/>
      <c r="D3" s="40"/>
    </row>
    <row r="4" spans="1:4" ht="18.75">
      <c r="A4" s="49" t="s">
        <v>4</v>
      </c>
      <c r="B4" s="49"/>
      <c r="C4" s="49"/>
      <c r="D4" s="41"/>
    </row>
    <row r="5" spans="1:6" ht="4.5" customHeight="1">
      <c r="A5" s="6"/>
      <c r="B5" s="6"/>
      <c r="C5" s="6"/>
      <c r="D5" s="6"/>
      <c r="F5" s="2"/>
    </row>
    <row r="6" spans="1:4" ht="18.75">
      <c r="A6" s="49" t="s">
        <v>277</v>
      </c>
      <c r="B6" s="49"/>
      <c r="C6" s="49"/>
      <c r="D6" s="41"/>
    </row>
    <row r="7" spans="1:7" ht="6" customHeight="1">
      <c r="A7" s="6"/>
      <c r="B7" s="6"/>
      <c r="C7" s="6"/>
      <c r="D7" s="6"/>
      <c r="F7" s="5"/>
      <c r="G7" s="5"/>
    </row>
    <row r="8" spans="1:9" ht="15.75">
      <c r="A8" s="51" t="s">
        <v>6</v>
      </c>
      <c r="B8" s="51"/>
      <c r="C8" s="32">
        <v>4405.4</v>
      </c>
      <c r="D8" s="20" t="s">
        <v>7</v>
      </c>
      <c r="F8" s="1"/>
      <c r="G8" s="1"/>
      <c r="H8" s="4"/>
      <c r="I8" s="4"/>
    </row>
    <row r="9" spans="1:9" ht="15.75">
      <c r="A9" s="10">
        <v>1</v>
      </c>
      <c r="B9" s="32" t="s">
        <v>8</v>
      </c>
      <c r="C9" s="42"/>
      <c r="D9" s="21"/>
      <c r="F9" s="3"/>
      <c r="G9" s="3"/>
      <c r="H9" s="4"/>
      <c r="I9" s="4"/>
    </row>
    <row r="10" spans="1:9" ht="15.75">
      <c r="A10" s="10"/>
      <c r="B10" s="13" t="s">
        <v>21</v>
      </c>
      <c r="C10" s="33">
        <f>45463.73*12</f>
        <v>545564.76</v>
      </c>
      <c r="D10" s="21" t="s">
        <v>9</v>
      </c>
      <c r="F10" s="3"/>
      <c r="G10" s="3"/>
      <c r="H10" s="4"/>
      <c r="I10" s="4"/>
    </row>
    <row r="11" spans="1:9" ht="15.75">
      <c r="A11" s="10"/>
      <c r="B11" s="13" t="s">
        <v>10</v>
      </c>
      <c r="C11" s="33">
        <v>88.24</v>
      </c>
      <c r="D11" s="21" t="s">
        <v>11</v>
      </c>
      <c r="F11" s="3"/>
      <c r="G11" s="3"/>
      <c r="H11" s="4"/>
      <c r="I11" s="4"/>
    </row>
    <row r="12" spans="1:9" ht="15.75">
      <c r="A12" s="10">
        <v>2</v>
      </c>
      <c r="B12" s="32" t="s">
        <v>12</v>
      </c>
      <c r="C12" s="33">
        <f>SUM(C13:C22)</f>
        <v>658976.25</v>
      </c>
      <c r="D12" s="21" t="s">
        <v>9</v>
      </c>
      <c r="F12" s="3"/>
      <c r="G12" s="3"/>
      <c r="H12" s="4"/>
      <c r="I12" s="4"/>
    </row>
    <row r="13" spans="1:9" ht="15.75">
      <c r="A13" s="12" t="s">
        <v>24</v>
      </c>
      <c r="B13" s="13" t="s">
        <v>13</v>
      </c>
      <c r="C13" s="14">
        <f>7048.64*12</f>
        <v>84583.68</v>
      </c>
      <c r="D13" s="21" t="s">
        <v>9</v>
      </c>
      <c r="E13" s="29"/>
      <c r="F13" s="3"/>
      <c r="G13" s="3"/>
      <c r="H13" s="4"/>
      <c r="I13" s="4"/>
    </row>
    <row r="14" spans="1:9" ht="15.75">
      <c r="A14" s="12" t="s">
        <v>25</v>
      </c>
      <c r="B14" s="13" t="s">
        <v>14</v>
      </c>
      <c r="C14" s="14">
        <f>1145.4*12</f>
        <v>13744.8</v>
      </c>
      <c r="D14" s="21" t="s">
        <v>9</v>
      </c>
      <c r="E14" s="29"/>
      <c r="F14" s="3"/>
      <c r="G14" s="3"/>
      <c r="H14" s="4"/>
      <c r="I14" s="4"/>
    </row>
    <row r="15" spans="1:9" ht="15.75">
      <c r="A15" s="12" t="s">
        <v>26</v>
      </c>
      <c r="B15" s="13" t="s">
        <v>15</v>
      </c>
      <c r="C15" s="14">
        <v>23040</v>
      </c>
      <c r="D15" s="21" t="s">
        <v>9</v>
      </c>
      <c r="E15" s="29"/>
      <c r="F15" s="3"/>
      <c r="G15" s="3"/>
      <c r="H15" s="4"/>
      <c r="I15" s="4"/>
    </row>
    <row r="16" spans="1:9" ht="15.75">
      <c r="A16" s="12" t="s">
        <v>27</v>
      </c>
      <c r="B16" s="13" t="s">
        <v>0</v>
      </c>
      <c r="C16" s="14">
        <v>24912</v>
      </c>
      <c r="D16" s="21" t="s">
        <v>9</v>
      </c>
      <c r="E16" s="29"/>
      <c r="F16" s="3"/>
      <c r="G16" s="3"/>
      <c r="H16" s="4"/>
      <c r="I16" s="4"/>
    </row>
    <row r="17" spans="1:9" ht="29.25" customHeight="1">
      <c r="A17" s="38" t="s">
        <v>28</v>
      </c>
      <c r="B17" s="13" t="s">
        <v>16</v>
      </c>
      <c r="C17" s="14">
        <f>7885.67*12</f>
        <v>94628.04</v>
      </c>
      <c r="D17" s="21" t="s">
        <v>9</v>
      </c>
      <c r="E17" s="29"/>
      <c r="F17" s="3"/>
      <c r="G17" s="3"/>
      <c r="H17" s="4"/>
      <c r="I17" s="4"/>
    </row>
    <row r="18" spans="1:9" ht="15.75">
      <c r="A18" s="38" t="s">
        <v>29</v>
      </c>
      <c r="B18" s="13" t="s">
        <v>17</v>
      </c>
      <c r="C18" s="14">
        <f>4273.24*12</f>
        <v>51278.88</v>
      </c>
      <c r="D18" s="21" t="s">
        <v>9</v>
      </c>
      <c r="E18" s="29"/>
      <c r="F18" s="3"/>
      <c r="G18" s="3"/>
      <c r="H18" s="4"/>
      <c r="I18" s="4"/>
    </row>
    <row r="19" spans="1:9" ht="33.75" customHeight="1">
      <c r="A19" s="38" t="s">
        <v>30</v>
      </c>
      <c r="B19" s="13" t="s">
        <v>18</v>
      </c>
      <c r="C19" s="14">
        <f>969.19*12</f>
        <v>11630.28</v>
      </c>
      <c r="D19" s="21" t="s">
        <v>9</v>
      </c>
      <c r="E19" s="29"/>
      <c r="F19" s="3"/>
      <c r="G19" s="3"/>
      <c r="H19" s="4"/>
      <c r="I19" s="4"/>
    </row>
    <row r="20" spans="1:9" ht="15.75">
      <c r="A20" s="12" t="s">
        <v>31</v>
      </c>
      <c r="B20" s="13" t="s">
        <v>22</v>
      </c>
      <c r="C20" s="14">
        <v>1196.26</v>
      </c>
      <c r="D20" s="21" t="s">
        <v>9</v>
      </c>
      <c r="E20" s="29"/>
      <c r="F20" s="3"/>
      <c r="G20" s="3"/>
      <c r="H20" s="4"/>
      <c r="I20" s="4"/>
    </row>
    <row r="21" spans="1:9" ht="15.75">
      <c r="A21" s="12" t="s">
        <v>32</v>
      </c>
      <c r="B21" s="13" t="s">
        <v>19</v>
      </c>
      <c r="C21" s="14">
        <f>6696.21*12</f>
        <v>80354.52</v>
      </c>
      <c r="D21" s="21" t="s">
        <v>9</v>
      </c>
      <c r="E21" s="29"/>
      <c r="F21" s="3"/>
      <c r="G21" s="3"/>
      <c r="H21" s="4"/>
      <c r="I21" s="4"/>
    </row>
    <row r="22" spans="1:9" ht="15.75">
      <c r="A22" s="12" t="s">
        <v>33</v>
      </c>
      <c r="B22" s="13" t="s">
        <v>20</v>
      </c>
      <c r="C22" s="30">
        <f>SUM(C24:C43)</f>
        <v>273607.79</v>
      </c>
      <c r="D22" s="21" t="s">
        <v>9</v>
      </c>
      <c r="E22" s="29"/>
      <c r="F22" s="1"/>
      <c r="G22" s="3"/>
      <c r="H22" s="4"/>
      <c r="I22" s="4"/>
    </row>
    <row r="23" spans="1:9" ht="15.75">
      <c r="A23" s="12"/>
      <c r="B23" s="47" t="s">
        <v>23</v>
      </c>
      <c r="C23" s="6"/>
      <c r="D23" s="21"/>
      <c r="E23" s="29"/>
      <c r="F23" s="1"/>
      <c r="G23" s="3"/>
      <c r="H23" s="4"/>
      <c r="I23" s="4"/>
    </row>
    <row r="24" spans="1:9" ht="15.75">
      <c r="A24" s="12"/>
      <c r="B24" s="18" t="s">
        <v>64</v>
      </c>
      <c r="C24" s="28">
        <v>1395.37</v>
      </c>
      <c r="D24" s="21" t="s">
        <v>9</v>
      </c>
      <c r="F24" s="1"/>
      <c r="G24" s="3"/>
      <c r="H24" s="4"/>
      <c r="I24" s="4"/>
    </row>
    <row r="25" spans="1:9" ht="15.75">
      <c r="A25" s="12"/>
      <c r="B25" s="18" t="s">
        <v>278</v>
      </c>
      <c r="C25" s="28">
        <v>1309.68</v>
      </c>
      <c r="D25" s="21" t="s">
        <v>9</v>
      </c>
      <c r="F25" s="1"/>
      <c r="G25" s="1"/>
      <c r="H25" s="4"/>
      <c r="I25" s="4"/>
    </row>
    <row r="26" spans="1:9" ht="15.75">
      <c r="A26" s="12"/>
      <c r="B26" s="19" t="s">
        <v>88</v>
      </c>
      <c r="C26" s="16">
        <v>1536</v>
      </c>
      <c r="D26" s="21" t="s">
        <v>9</v>
      </c>
      <c r="F26" s="4"/>
      <c r="G26" s="4"/>
      <c r="H26" s="4"/>
      <c r="I26" s="4"/>
    </row>
    <row r="27" spans="1:9" ht="15.75">
      <c r="A27" s="12"/>
      <c r="B27" s="19" t="s">
        <v>85</v>
      </c>
      <c r="C27" s="16">
        <f>3254+2370+9312</f>
        <v>14936</v>
      </c>
      <c r="D27" s="21" t="s">
        <v>9</v>
      </c>
      <c r="F27" s="4"/>
      <c r="G27" s="4"/>
      <c r="H27" s="4"/>
      <c r="I27" s="4"/>
    </row>
    <row r="28" spans="1:4" ht="15.75">
      <c r="A28" s="12"/>
      <c r="B28" s="19" t="s">
        <v>147</v>
      </c>
      <c r="C28" s="16">
        <v>79200</v>
      </c>
      <c r="D28" s="21" t="s">
        <v>9</v>
      </c>
    </row>
    <row r="29" spans="1:4" ht="15.75">
      <c r="A29" s="11"/>
      <c r="B29" s="22" t="s">
        <v>80</v>
      </c>
      <c r="C29" s="23">
        <v>111438</v>
      </c>
      <c r="D29" s="21" t="s">
        <v>9</v>
      </c>
    </row>
    <row r="30" spans="1:4" ht="15.75">
      <c r="A30" s="11"/>
      <c r="B30" s="22" t="s">
        <v>294</v>
      </c>
      <c r="C30" s="23">
        <f>303+180.94+218+130+109</f>
        <v>940.94</v>
      </c>
      <c r="D30" s="21" t="s">
        <v>9</v>
      </c>
    </row>
    <row r="31" spans="1:4" ht="15.75">
      <c r="A31" s="11"/>
      <c r="B31" s="22" t="s">
        <v>106</v>
      </c>
      <c r="C31" s="23">
        <v>337</v>
      </c>
      <c r="D31" s="21" t="s">
        <v>9</v>
      </c>
    </row>
    <row r="32" spans="1:4" ht="15.75">
      <c r="A32" s="11"/>
      <c r="B32" s="22" t="s">
        <v>203</v>
      </c>
      <c r="C32" s="23">
        <f>121+218</f>
        <v>339</v>
      </c>
      <c r="D32" s="21" t="s">
        <v>9</v>
      </c>
    </row>
    <row r="33" spans="1:4" ht="15.75">
      <c r="A33" s="11"/>
      <c r="B33" s="22" t="s">
        <v>37</v>
      </c>
      <c r="C33" s="23">
        <v>624</v>
      </c>
      <c r="D33" s="21" t="s">
        <v>9</v>
      </c>
    </row>
    <row r="34" spans="1:4" ht="15.75">
      <c r="A34" s="11"/>
      <c r="B34" s="19" t="s">
        <v>48</v>
      </c>
      <c r="C34" s="23">
        <v>1596</v>
      </c>
      <c r="D34" s="21" t="s">
        <v>9</v>
      </c>
    </row>
    <row r="35" spans="1:4" ht="15.75">
      <c r="A35" s="11"/>
      <c r="B35" s="22" t="s">
        <v>61</v>
      </c>
      <c r="C35" s="23">
        <v>3309</v>
      </c>
      <c r="D35" s="21" t="s">
        <v>9</v>
      </c>
    </row>
    <row r="36" spans="1:4" ht="15.75">
      <c r="A36" s="11"/>
      <c r="B36" s="22" t="s">
        <v>72</v>
      </c>
      <c r="C36" s="23">
        <f>1439.03+359.76+719.52</f>
        <v>2518.31</v>
      </c>
      <c r="D36" s="21" t="s">
        <v>9</v>
      </c>
    </row>
    <row r="37" spans="1:4" ht="15.75">
      <c r="A37" s="11"/>
      <c r="B37" s="22" t="s">
        <v>74</v>
      </c>
      <c r="C37" s="23">
        <f>2267.59+697.6+174.43</f>
        <v>3139.62</v>
      </c>
      <c r="D37" s="21" t="s">
        <v>9</v>
      </c>
    </row>
    <row r="38" spans="1:4" ht="15.75">
      <c r="A38" s="11"/>
      <c r="B38" s="22" t="s">
        <v>91</v>
      </c>
      <c r="C38" s="23">
        <f>643.28+812.34+812.34</f>
        <v>2267.96</v>
      </c>
      <c r="D38" s="21" t="s">
        <v>9</v>
      </c>
    </row>
    <row r="39" spans="1:4" ht="15.75">
      <c r="A39" s="11"/>
      <c r="B39" s="22" t="s">
        <v>92</v>
      </c>
      <c r="C39" s="23">
        <f>4840.5+3357.7</f>
        <v>8198.2</v>
      </c>
      <c r="D39" s="21" t="s">
        <v>9</v>
      </c>
    </row>
    <row r="40" spans="1:4" ht="15.75">
      <c r="A40" s="11"/>
      <c r="B40" s="22" t="s">
        <v>134</v>
      </c>
      <c r="C40" s="23">
        <v>26631.13</v>
      </c>
      <c r="D40" s="21" t="s">
        <v>9</v>
      </c>
    </row>
    <row r="41" spans="1:4" ht="15.75">
      <c r="A41" s="11"/>
      <c r="B41" s="22" t="s">
        <v>135</v>
      </c>
      <c r="C41" s="17">
        <v>7154.59</v>
      </c>
      <c r="D41" s="21" t="s">
        <v>9</v>
      </c>
    </row>
    <row r="42" spans="1:4" ht="15.75">
      <c r="A42" s="11"/>
      <c r="B42" s="22" t="s">
        <v>75</v>
      </c>
      <c r="C42" s="17">
        <v>1098.84</v>
      </c>
      <c r="D42" s="21" t="s">
        <v>9</v>
      </c>
    </row>
    <row r="43" spans="1:4" ht="49.5" customHeight="1">
      <c r="A43" s="11"/>
      <c r="B43" s="19" t="s">
        <v>87</v>
      </c>
      <c r="C43" s="17">
        <v>5638.15</v>
      </c>
      <c r="D43" s="21" t="s">
        <v>9</v>
      </c>
    </row>
    <row r="44" spans="1:4" ht="15.75">
      <c r="A44" s="11"/>
      <c r="B44" s="22"/>
      <c r="D44" s="21"/>
    </row>
    <row r="45" spans="1:4" ht="15.75">
      <c r="A45" s="35"/>
      <c r="B45" s="44" t="s">
        <v>35</v>
      </c>
      <c r="C45" s="34">
        <f>C10-C12</f>
        <v>-113411.49</v>
      </c>
      <c r="D45" s="21" t="s">
        <v>9</v>
      </c>
    </row>
    <row r="46" spans="1:4" ht="11.25" customHeight="1">
      <c r="A46" s="35"/>
      <c r="B46" s="35"/>
      <c r="C46" s="35" t="s">
        <v>41</v>
      </c>
      <c r="D46" s="21"/>
    </row>
    <row r="47" spans="1:4" ht="33.75" customHeight="1">
      <c r="A47" s="48" t="s">
        <v>136</v>
      </c>
      <c r="B47" s="48"/>
      <c r="C47" s="35">
        <v>56746.28</v>
      </c>
      <c r="D47" s="21" t="s">
        <v>9</v>
      </c>
    </row>
    <row r="48" spans="1:4" ht="15.75">
      <c r="A48" s="6"/>
      <c r="B48" s="6"/>
      <c r="C48" s="6"/>
      <c r="D48" s="6"/>
    </row>
    <row r="49" spans="1:4" ht="15.75">
      <c r="A49" s="6"/>
      <c r="B49" s="6"/>
      <c r="C49" s="6"/>
      <c r="D49" s="6"/>
    </row>
    <row r="54" spans="1:5" ht="15.75">
      <c r="A54" s="6"/>
      <c r="B54" s="6"/>
      <c r="C54" s="6"/>
      <c r="D54" s="6"/>
      <c r="E54" s="6"/>
    </row>
    <row r="55" spans="1:5" ht="15.75">
      <c r="A55" s="6"/>
      <c r="B55" s="6"/>
      <c r="C55" s="6"/>
      <c r="D55" s="6"/>
      <c r="E55" s="6"/>
    </row>
    <row r="56" spans="1:5" ht="15.75">
      <c r="A56" s="6"/>
      <c r="B56" s="6"/>
      <c r="C56" s="6"/>
      <c r="D56" s="6"/>
      <c r="E56" s="6"/>
    </row>
    <row r="57" spans="1:5" ht="15.75">
      <c r="A57" s="6"/>
      <c r="B57" s="6"/>
      <c r="C57" s="6"/>
      <c r="D57" s="6"/>
      <c r="E57" s="6"/>
    </row>
    <row r="58" spans="1:5" ht="15.75">
      <c r="A58" s="6"/>
      <c r="B58" s="6"/>
      <c r="C58" s="6"/>
      <c r="D58" s="6"/>
      <c r="E58" s="6"/>
    </row>
    <row r="59" spans="1:5" ht="15.75">
      <c r="A59" s="6"/>
      <c r="B59" s="6"/>
      <c r="C59" s="6"/>
      <c r="D59" s="6"/>
      <c r="E59" s="6"/>
    </row>
    <row r="60" spans="1:5" ht="15.75">
      <c r="A60" s="6"/>
      <c r="B60" s="6"/>
      <c r="C60" s="6"/>
      <c r="D60" s="6"/>
      <c r="E60" s="6"/>
    </row>
  </sheetData>
  <mergeCells count="7">
    <mergeCell ref="A6:C6"/>
    <mergeCell ref="A8:B8"/>
    <mergeCell ref="A47:B47"/>
    <mergeCell ref="A1:C1"/>
    <mergeCell ref="A2:C2"/>
    <mergeCell ref="A3:C3"/>
    <mergeCell ref="A4:C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1.7109375" style="0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59</v>
      </c>
      <c r="B6" s="49"/>
      <c r="C6" s="49"/>
    </row>
    <row r="7" spans="1:3" ht="15.75">
      <c r="A7" s="6"/>
      <c r="B7" s="6"/>
      <c r="C7" s="6"/>
    </row>
    <row r="8" spans="1:4" ht="15.75">
      <c r="A8" s="6" t="s">
        <v>6</v>
      </c>
      <c r="B8" s="7"/>
      <c r="C8" s="32">
        <v>345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v>28855.8</v>
      </c>
      <c r="D10" s="21" t="s">
        <v>9</v>
      </c>
    </row>
    <row r="11" spans="1:4" ht="15.75">
      <c r="A11" s="10"/>
      <c r="B11" s="13" t="s">
        <v>10</v>
      </c>
      <c r="C11" s="33">
        <v>70.81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24562.66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496.8*12</f>
        <v>5961.6</v>
      </c>
      <c r="D13" s="21" t="s">
        <v>9</v>
      </c>
    </row>
    <row r="14" spans="1:4" ht="15.75">
      <c r="A14" s="12" t="s">
        <v>25</v>
      </c>
      <c r="B14" s="13" t="s">
        <v>14</v>
      </c>
      <c r="C14" s="14">
        <f>82.8*12</f>
        <v>993.6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0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0</v>
      </c>
      <c r="D16" s="21" t="s">
        <v>9</v>
      </c>
    </row>
    <row r="17" spans="1:4" ht="31.5">
      <c r="A17" s="38" t="s">
        <v>28</v>
      </c>
      <c r="B17" s="13" t="s">
        <v>16</v>
      </c>
      <c r="C17" s="14">
        <v>3850.2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f>334.65*12</f>
        <v>4015.8</v>
      </c>
      <c r="D18" s="21" t="s">
        <v>9</v>
      </c>
    </row>
    <row r="19" spans="1:4" ht="31.5">
      <c r="A19" s="38" t="s">
        <v>30</v>
      </c>
      <c r="B19" s="13" t="s">
        <v>18</v>
      </c>
      <c r="C19" s="14">
        <v>0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524.4*12</f>
        <v>6292.8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</f>
        <v>3448.66</v>
      </c>
      <c r="D22" s="21" t="s">
        <v>9</v>
      </c>
    </row>
    <row r="23" spans="1:4" ht="15.75">
      <c r="A23" s="12"/>
      <c r="B23" s="47" t="s">
        <v>23</v>
      </c>
      <c r="C23" s="6"/>
      <c r="D23" s="21" t="s">
        <v>9</v>
      </c>
    </row>
    <row r="24" spans="1:4" ht="15.75">
      <c r="A24" s="12"/>
      <c r="B24" s="18" t="s">
        <v>281</v>
      </c>
      <c r="C24" s="15">
        <v>208.65</v>
      </c>
      <c r="D24" s="21" t="s">
        <v>9</v>
      </c>
    </row>
    <row r="25" spans="1:4" ht="15.75">
      <c r="A25" s="12"/>
      <c r="B25" s="19" t="s">
        <v>57</v>
      </c>
      <c r="C25" s="16">
        <v>327</v>
      </c>
      <c r="D25" s="21" t="s">
        <v>9</v>
      </c>
    </row>
    <row r="26" spans="1:4" ht="15.75">
      <c r="A26" s="12"/>
      <c r="B26" s="22" t="s">
        <v>134</v>
      </c>
      <c r="C26" s="23">
        <v>2250.54</v>
      </c>
      <c r="D26" s="21" t="s">
        <v>9</v>
      </c>
    </row>
    <row r="27" spans="1:4" ht="15.75">
      <c r="A27" s="12"/>
      <c r="B27" s="22" t="s">
        <v>135</v>
      </c>
      <c r="C27" s="17">
        <v>662.47</v>
      </c>
      <c r="D27" s="21" t="s">
        <v>9</v>
      </c>
    </row>
    <row r="28" spans="1:4" ht="15.75">
      <c r="A28" s="6"/>
      <c r="B28" s="19"/>
      <c r="C28" s="17"/>
      <c r="D28" s="21"/>
    </row>
    <row r="29" spans="1:4" ht="15.75">
      <c r="A29" s="6"/>
      <c r="B29" s="19"/>
      <c r="C29" s="17"/>
      <c r="D29" s="21"/>
    </row>
    <row r="30" spans="1:4" ht="15.75">
      <c r="A30" s="35"/>
      <c r="B30" s="44" t="s">
        <v>35</v>
      </c>
      <c r="C30" s="34">
        <f>C10-C12</f>
        <v>4293.14</v>
      </c>
      <c r="D30" s="21" t="s">
        <v>9</v>
      </c>
    </row>
    <row r="31" spans="1:4" ht="15.75">
      <c r="A31" s="35"/>
      <c r="B31" s="35"/>
      <c r="C31" s="35" t="s">
        <v>41</v>
      </c>
      <c r="D31" s="21"/>
    </row>
    <row r="32" spans="1:4" ht="32.25" customHeight="1">
      <c r="A32" s="48" t="s">
        <v>136</v>
      </c>
      <c r="B32" s="48"/>
      <c r="C32" s="35">
        <v>9340.22</v>
      </c>
      <c r="D32" s="21" t="s">
        <v>9</v>
      </c>
    </row>
    <row r="33" spans="1:3" ht="15.75">
      <c r="A33" s="35"/>
      <c r="B33" s="35"/>
      <c r="C33" s="35"/>
    </row>
    <row r="34" spans="1:3" ht="15.75">
      <c r="A34" s="6"/>
      <c r="B34" s="6"/>
      <c r="C34" s="6"/>
    </row>
  </sheetData>
  <mergeCells count="6">
    <mergeCell ref="A6:C6"/>
    <mergeCell ref="A32:B32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2" sqref="D12"/>
    </sheetView>
  </sheetViews>
  <sheetFormatPr defaultColWidth="9.140625" defaultRowHeight="12.75"/>
  <cols>
    <col min="1" max="1" width="5.57421875" style="0" bestFit="1" customWidth="1"/>
    <col min="2" max="2" width="57.57421875" style="0" bestFit="1" customWidth="1"/>
    <col min="3" max="3" width="10.421875" style="0" bestFit="1" customWidth="1"/>
  </cols>
  <sheetData>
    <row r="1" spans="1:3" ht="15.75">
      <c r="A1" s="50" t="s">
        <v>1</v>
      </c>
      <c r="B1" s="50"/>
      <c r="C1" s="50"/>
    </row>
    <row r="2" spans="1:3" ht="15.75">
      <c r="A2" s="50" t="s">
        <v>2</v>
      </c>
      <c r="B2" s="50"/>
      <c r="C2" s="50"/>
    </row>
    <row r="3" spans="1:3" ht="15.75">
      <c r="A3" s="50" t="s">
        <v>3</v>
      </c>
      <c r="B3" s="50"/>
      <c r="C3" s="50"/>
    </row>
    <row r="4" spans="1:3" ht="18.75">
      <c r="A4" s="49" t="s">
        <v>4</v>
      </c>
      <c r="B4" s="49"/>
      <c r="C4" s="49"/>
    </row>
    <row r="5" spans="1:3" ht="15.75">
      <c r="A5" s="6"/>
      <c r="B5" s="6"/>
      <c r="C5" s="6"/>
    </row>
    <row r="6" spans="1:3" ht="18.75">
      <c r="A6" s="49" t="s">
        <v>60</v>
      </c>
      <c r="B6" s="49"/>
      <c r="C6" s="49"/>
    </row>
    <row r="7" spans="1:3" ht="15.75">
      <c r="A7" s="6"/>
      <c r="B7" s="6"/>
      <c r="C7" s="6"/>
    </row>
    <row r="8" spans="1:4" ht="15.75">
      <c r="A8" s="52" t="s">
        <v>6</v>
      </c>
      <c r="B8" s="52"/>
      <c r="C8" s="32">
        <v>526.3</v>
      </c>
      <c r="D8" s="20" t="s">
        <v>7</v>
      </c>
    </row>
    <row r="9" spans="1:4" ht="15.75">
      <c r="A9" s="10">
        <v>1</v>
      </c>
      <c r="B9" s="32" t="s">
        <v>8</v>
      </c>
      <c r="C9" s="42"/>
      <c r="D9" s="21"/>
    </row>
    <row r="10" spans="1:4" ht="15.75">
      <c r="A10" s="10"/>
      <c r="B10" s="13" t="s">
        <v>21</v>
      </c>
      <c r="C10" s="33">
        <f>4841.96*4</f>
        <v>19367.84</v>
      </c>
      <c r="D10" s="21" t="s">
        <v>9</v>
      </c>
    </row>
    <row r="11" spans="1:4" ht="15.75">
      <c r="A11" s="10"/>
      <c r="B11" s="13" t="s">
        <v>10</v>
      </c>
      <c r="C11" s="33">
        <v>61.56</v>
      </c>
      <c r="D11" s="21" t="s">
        <v>11</v>
      </c>
    </row>
    <row r="12" spans="1:4" ht="15.75">
      <c r="A12" s="10">
        <v>2</v>
      </c>
      <c r="B12" s="32" t="s">
        <v>12</v>
      </c>
      <c r="C12" s="33">
        <f>SUM(C13:C22)</f>
        <v>21601.83</v>
      </c>
      <c r="D12" s="21" t="s">
        <v>9</v>
      </c>
    </row>
    <row r="13" spans="1:4" ht="15.75">
      <c r="A13" s="12" t="s">
        <v>24</v>
      </c>
      <c r="B13" s="13" t="s">
        <v>13</v>
      </c>
      <c r="C13" s="14">
        <f>842.08*4</f>
        <v>3368.32</v>
      </c>
      <c r="D13" s="21" t="s">
        <v>9</v>
      </c>
    </row>
    <row r="14" spans="1:4" ht="31.5">
      <c r="A14" s="12" t="s">
        <v>25</v>
      </c>
      <c r="B14" s="13" t="s">
        <v>14</v>
      </c>
      <c r="C14" s="14">
        <f>136.84*4</f>
        <v>547.36</v>
      </c>
      <c r="D14" s="21" t="s">
        <v>9</v>
      </c>
    </row>
    <row r="15" spans="1:4" ht="15.75">
      <c r="A15" s="12" t="s">
        <v>26</v>
      </c>
      <c r="B15" s="13" t="s">
        <v>15</v>
      </c>
      <c r="C15" s="14">
        <v>984</v>
      </c>
      <c r="D15" s="21" t="s">
        <v>9</v>
      </c>
    </row>
    <row r="16" spans="1:4" ht="15.75">
      <c r="A16" s="12" t="s">
        <v>27</v>
      </c>
      <c r="B16" s="13" t="s">
        <v>0</v>
      </c>
      <c r="C16" s="14">
        <v>2460</v>
      </c>
      <c r="D16" s="21" t="s">
        <v>9</v>
      </c>
    </row>
    <row r="17" spans="1:4" ht="31.5">
      <c r="A17" s="38" t="s">
        <v>28</v>
      </c>
      <c r="B17" s="13" t="s">
        <v>16</v>
      </c>
      <c r="C17" s="14">
        <v>2589.4</v>
      </c>
      <c r="D17" s="21" t="s">
        <v>9</v>
      </c>
    </row>
    <row r="18" spans="1:4" ht="15.75">
      <c r="A18" s="38" t="s">
        <v>29</v>
      </c>
      <c r="B18" s="13" t="s">
        <v>17</v>
      </c>
      <c r="C18" s="14">
        <f>510.51*4</f>
        <v>2042.04</v>
      </c>
      <c r="D18" s="21" t="s">
        <v>9</v>
      </c>
    </row>
    <row r="19" spans="1:4" ht="31.5">
      <c r="A19" s="38" t="s">
        <v>30</v>
      </c>
      <c r="B19" s="13" t="s">
        <v>18</v>
      </c>
      <c r="C19" s="14">
        <f>115.79*4</f>
        <v>463.16</v>
      </c>
      <c r="D19" s="21" t="s">
        <v>9</v>
      </c>
    </row>
    <row r="20" spans="1:4" ht="15.75">
      <c r="A20" s="12" t="s">
        <v>31</v>
      </c>
      <c r="B20" s="13" t="s">
        <v>22</v>
      </c>
      <c r="C20" s="14">
        <v>0</v>
      </c>
      <c r="D20" s="21" t="s">
        <v>9</v>
      </c>
    </row>
    <row r="21" spans="1:4" ht="15.75">
      <c r="A21" s="12" t="s">
        <v>32</v>
      </c>
      <c r="B21" s="13" t="s">
        <v>19</v>
      </c>
      <c r="C21" s="14">
        <f>799.98*4</f>
        <v>3199.92</v>
      </c>
      <c r="D21" s="21" t="s">
        <v>9</v>
      </c>
    </row>
    <row r="22" spans="1:4" ht="15.75">
      <c r="A22" s="12" t="s">
        <v>33</v>
      </c>
      <c r="B22" s="13" t="s">
        <v>20</v>
      </c>
      <c r="C22" s="14">
        <f>C24+C25+C26+C27+C28</f>
        <v>5947.63</v>
      </c>
      <c r="D22" s="21" t="s">
        <v>9</v>
      </c>
    </row>
    <row r="23" spans="1:4" ht="15.75">
      <c r="A23" s="12"/>
      <c r="B23" s="47" t="s">
        <v>23</v>
      </c>
      <c r="C23" s="6"/>
      <c r="D23" s="21"/>
    </row>
    <row r="24" spans="1:4" ht="15.75">
      <c r="A24" s="12"/>
      <c r="B24" s="19" t="s">
        <v>61</v>
      </c>
      <c r="C24" s="16">
        <v>2583.04</v>
      </c>
      <c r="D24" s="21" t="s">
        <v>9</v>
      </c>
    </row>
    <row r="25" spans="1:4" ht="15.75">
      <c r="A25" s="11"/>
      <c r="B25" s="19" t="s">
        <v>54</v>
      </c>
      <c r="C25" s="16">
        <v>2158.55</v>
      </c>
      <c r="D25" s="21" t="s">
        <v>9</v>
      </c>
    </row>
    <row r="26" spans="1:4" ht="15.75">
      <c r="A26" s="11"/>
      <c r="B26" s="19" t="s">
        <v>52</v>
      </c>
      <c r="C26" s="16">
        <v>313.76</v>
      </c>
      <c r="D26" s="21" t="s">
        <v>9</v>
      </c>
    </row>
    <row r="27" spans="1:4" ht="15.75">
      <c r="A27" s="11"/>
      <c r="B27" s="22" t="s">
        <v>53</v>
      </c>
      <c r="C27" s="17">
        <v>366.28</v>
      </c>
      <c r="D27" s="21" t="s">
        <v>9</v>
      </c>
    </row>
    <row r="28" spans="1:4" ht="15.75">
      <c r="A28" s="6"/>
      <c r="B28" s="19" t="s">
        <v>62</v>
      </c>
      <c r="C28" s="23">
        <v>526</v>
      </c>
      <c r="D28" s="21" t="s">
        <v>9</v>
      </c>
    </row>
    <row r="29" spans="1:4" ht="15.75">
      <c r="A29" s="6"/>
      <c r="B29" s="19"/>
      <c r="C29" s="17"/>
      <c r="D29" s="21"/>
    </row>
    <row r="30" spans="1:4" ht="15.75">
      <c r="A30" s="6"/>
      <c r="B30" s="19"/>
      <c r="C30" s="17"/>
      <c r="D30" s="21"/>
    </row>
    <row r="31" spans="1:4" ht="15.75">
      <c r="A31" s="35"/>
      <c r="B31" s="44" t="s">
        <v>35</v>
      </c>
      <c r="C31" s="34">
        <f>C10-C12</f>
        <v>-2233.99</v>
      </c>
      <c r="D31" s="21" t="s">
        <v>9</v>
      </c>
    </row>
    <row r="32" spans="1:3" ht="15.75">
      <c r="A32" s="35"/>
      <c r="B32" s="35"/>
      <c r="C32" s="35" t="s">
        <v>41</v>
      </c>
    </row>
    <row r="33" spans="1:4" ht="29.25" customHeight="1">
      <c r="A33" s="48" t="s">
        <v>136</v>
      </c>
      <c r="B33" s="48"/>
      <c r="C33" s="35">
        <v>15812.44</v>
      </c>
      <c r="D33" s="21" t="s">
        <v>9</v>
      </c>
    </row>
    <row r="34" spans="1:3" ht="15.75">
      <c r="A34" s="6"/>
      <c r="B34" s="6"/>
      <c r="C34" s="6"/>
    </row>
    <row r="35" spans="1:3" ht="15.75">
      <c r="A35" s="6"/>
      <c r="B35" s="6"/>
      <c r="C35" s="6"/>
    </row>
  </sheetData>
  <mergeCells count="7">
    <mergeCell ref="A6:C6"/>
    <mergeCell ref="A33:B33"/>
    <mergeCell ref="A8:B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2012-03-23T11:37:53Z</cp:lastPrinted>
  <dcterms:created xsi:type="dcterms:W3CDTF">1996-10-08T23:32:33Z</dcterms:created>
  <dcterms:modified xsi:type="dcterms:W3CDTF">2012-03-26T06:06:55Z</dcterms:modified>
  <cp:category/>
  <cp:version/>
  <cp:contentType/>
  <cp:contentStatus/>
</cp:coreProperties>
</file>