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0">'Лист1'!$1:$8</definedName>
  </definedNames>
  <calcPr fullCalcOnLoad="1"/>
</workbook>
</file>

<file path=xl/sharedStrings.xml><?xml version="1.0" encoding="utf-8"?>
<sst xmlns="http://schemas.openxmlformats.org/spreadsheetml/2006/main" count="219" uniqueCount="111">
  <si>
    <t>№  п/п</t>
  </si>
  <si>
    <t>Статьи затрат</t>
  </si>
  <si>
    <t>Ед.изм.</t>
  </si>
  <si>
    <t>Выработка т/энергии</t>
  </si>
  <si>
    <t>Гкал</t>
  </si>
  <si>
    <t>%</t>
  </si>
  <si>
    <t>Полезный отпуск</t>
  </si>
  <si>
    <t xml:space="preserve">Топливо </t>
  </si>
  <si>
    <t>Тыс.руб</t>
  </si>
  <si>
    <t>Электроэнергия</t>
  </si>
  <si>
    <t>Вода</t>
  </si>
  <si>
    <t>Материалы</t>
  </si>
  <si>
    <t>Амортизация</t>
  </si>
  <si>
    <t>Цеховые расходы</t>
  </si>
  <si>
    <t>с/нужды</t>
  </si>
  <si>
    <t>Удельная норма расхода эл.энергии</t>
  </si>
  <si>
    <t>Расход эл.энергии</t>
  </si>
  <si>
    <t>Расход воды</t>
  </si>
  <si>
    <t>кВт/ч/Гкал</t>
  </si>
  <si>
    <t>Цена топлива</t>
  </si>
  <si>
    <t>Отпуск в сеть</t>
  </si>
  <si>
    <t>Потери в сетях</t>
  </si>
  <si>
    <t>Цена эл.энергии</t>
  </si>
  <si>
    <t>Цена воды</t>
  </si>
  <si>
    <t>Численность</t>
  </si>
  <si>
    <t>тыс.м3</t>
  </si>
  <si>
    <t>тыс.кВт/ч</t>
  </si>
  <si>
    <t>руб/кВт/ч</t>
  </si>
  <si>
    <t>руб/м3</t>
  </si>
  <si>
    <t>Удельная норма расхода условного топлива</t>
  </si>
  <si>
    <t>Расход натурального топлива</t>
  </si>
  <si>
    <t>-</t>
  </si>
  <si>
    <t>Удельная норма расхода воды</t>
  </si>
  <si>
    <t>м3/Гкал</t>
  </si>
  <si>
    <t>Затраты</t>
  </si>
  <si>
    <t>кг у.т./Гкал</t>
  </si>
  <si>
    <t>Уголь</t>
  </si>
  <si>
    <t>Природный газ</t>
  </si>
  <si>
    <t>в т.ч. тариф на трансп-ку</t>
  </si>
  <si>
    <t>руб/тн</t>
  </si>
  <si>
    <t>тн</t>
  </si>
  <si>
    <t>тыс. м3</t>
  </si>
  <si>
    <t>руб/тыс.м3</t>
  </si>
  <si>
    <t>Мазут</t>
  </si>
  <si>
    <t>Дрова</t>
  </si>
  <si>
    <t>Дизельное топливо</t>
  </si>
  <si>
    <t>Печное топливо</t>
  </si>
  <si>
    <t>Нефть</t>
  </si>
  <si>
    <t>на угле</t>
  </si>
  <si>
    <t>на газе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</si>
  <si>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</si>
  <si>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</si>
  <si>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</si>
  <si>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</si>
  <si>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</si>
  <si>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Топлив. коэффициент</t>
  </si>
  <si>
    <t>Топливо, в т.ч.</t>
  </si>
  <si>
    <t>уголь</t>
  </si>
  <si>
    <t>природный газ</t>
  </si>
  <si>
    <t>мазут</t>
  </si>
  <si>
    <t>дизельное топливо</t>
  </si>
  <si>
    <t>дрова</t>
  </si>
  <si>
    <t>печное топливо</t>
  </si>
  <si>
    <t>нефть</t>
  </si>
  <si>
    <t>на электроэнергии</t>
  </si>
  <si>
    <t>2008 год</t>
  </si>
  <si>
    <t>Покупка тепловой энергии</t>
  </si>
  <si>
    <t>Примечание (причины роста сверх прогнозных показателей)</t>
  </si>
  <si>
    <t>Откло-нение</t>
  </si>
  <si>
    <t xml:space="preserve">Тариф            </t>
  </si>
  <si>
    <t xml:space="preserve">Факт             </t>
  </si>
  <si>
    <t>2006 год</t>
  </si>
  <si>
    <t>2007 год</t>
  </si>
  <si>
    <t xml:space="preserve">Перерасчет тарифа               на фактич. объем         </t>
  </si>
  <si>
    <t>Годовая</t>
  </si>
  <si>
    <t>1 квартал</t>
  </si>
  <si>
    <t>2 квартал</t>
  </si>
  <si>
    <t>1 полугодие</t>
  </si>
  <si>
    <t>Отклонение</t>
  </si>
  <si>
    <t>руб</t>
  </si>
  <si>
    <t>Главный экономист Устинова Т.Е.</t>
  </si>
  <si>
    <t>2010 год</t>
  </si>
  <si>
    <t xml:space="preserve">Факт  2010г           </t>
  </si>
  <si>
    <t>тыс руб</t>
  </si>
  <si>
    <t>Заработная плата</t>
  </si>
  <si>
    <t>средняя з/та</t>
  </si>
  <si>
    <t>Отчисления от ФОТ</t>
  </si>
  <si>
    <t>чел</t>
  </si>
  <si>
    <t>содержание оборудования</t>
  </si>
  <si>
    <t>ремонт</t>
  </si>
  <si>
    <t>содержание транспорта</t>
  </si>
  <si>
    <t>оплата труда</t>
  </si>
  <si>
    <t>есн</t>
  </si>
  <si>
    <t>Общехозяйственные расходы</t>
  </si>
  <si>
    <t>Прочие расходы</t>
  </si>
  <si>
    <t>Налоги и сборы</t>
  </si>
  <si>
    <t>Итого затрат</t>
  </si>
  <si>
    <t>тариф №12</t>
  </si>
  <si>
    <t>тариф №6</t>
  </si>
  <si>
    <t>Тариф МПУТ</t>
  </si>
  <si>
    <t>МПУТ</t>
  </si>
  <si>
    <t>Себестоимость</t>
  </si>
  <si>
    <t>2011 год</t>
  </si>
  <si>
    <t xml:space="preserve"> тариф№12</t>
  </si>
  <si>
    <t xml:space="preserve"> тариф№6</t>
  </si>
  <si>
    <t xml:space="preserve"> тариф  итого</t>
  </si>
  <si>
    <t>Цена за 1 Гкал</t>
  </si>
  <si>
    <t>Доходы</t>
  </si>
  <si>
    <t>Смета затрат на производство и отпуск тепловой энергии МПУТ КГО</t>
  </si>
  <si>
    <t>Затраты производсвенного характера</t>
  </si>
  <si>
    <t>Директор МПУТ    Устинов Д.С.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</si>
</sst>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%"/>
    <numFmt numFmtId="171" formatCode="[$-FC19]d\ mmmm\ yyyy\ &quot;г.&quot;"/>
    <numFmt numFmtId="172" formatCode="0.000;[Red]0.000"/>
    <numFmt numFmtId="173" formatCode="0.00;[Red]0.00"/>
  </numFmts>
  <fonts count="14"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166" fontId="3" fillId="2" borderId="1" xfId="0" applyNumberFormat="1" applyFont="1" applyFill="1" applyBorder="1" applyAlignment="1" applyProtection="1">
      <alignment horizontal="center" vertical="center"/>
      <protection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3" fillId="4" borderId="1" xfId="17" applyNumberFormat="1" applyFont="1" applyFill="1" applyBorder="1" applyAlignment="1" applyProtection="1">
      <alignment horizontal="center" vertical="center"/>
      <protection locked="0"/>
    </xf>
    <xf numFmtId="2" fontId="1" fillId="4" borderId="1" xfId="17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2" fontId="11" fillId="4" borderId="1" xfId="0" applyNumberFormat="1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2" fontId="3" fillId="0" borderId="3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SheetLayoutView="100" workbookViewId="0" topLeftCell="A1">
      <selection activeCell="R118" sqref="R118"/>
    </sheetView>
  </sheetViews>
  <sheetFormatPr defaultColWidth="9.00390625" defaultRowHeight="12.75"/>
  <cols>
    <col min="1" max="1" width="3.125" style="0" customWidth="1"/>
    <col min="2" max="2" width="20.125" style="2" customWidth="1"/>
    <col min="3" max="3" width="9.00390625" style="2" customWidth="1"/>
    <col min="4" max="4" width="0.2421875" style="2" hidden="1" customWidth="1"/>
    <col min="5" max="6" width="12.25390625" style="2" hidden="1" customWidth="1"/>
    <col min="7" max="7" width="0.74609375" style="3" hidden="1" customWidth="1"/>
    <col min="8" max="12" width="12.25390625" style="3" hidden="1" customWidth="1"/>
    <col min="13" max="16" width="12.25390625" style="2" hidden="1" customWidth="1"/>
    <col min="17" max="17" width="13.25390625" style="0" customWidth="1"/>
    <col min="18" max="19" width="12.25390625" style="0" customWidth="1"/>
    <col min="20" max="20" width="12.00390625" style="0" customWidth="1"/>
    <col min="21" max="21" width="15.125" style="0" hidden="1" customWidth="1"/>
    <col min="22" max="24" width="12.25390625" style="0" customWidth="1"/>
    <col min="25" max="25" width="10.375" style="0" customWidth="1"/>
    <col min="27" max="27" width="10.375" style="0" customWidth="1"/>
  </cols>
  <sheetData>
    <row r="1" spans="1:27" ht="10.5" customHeight="1">
      <c r="A1" s="124" t="s">
        <v>108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4"/>
      <c r="Y1" s="4"/>
      <c r="Z1" s="4"/>
      <c r="AA1" s="4"/>
    </row>
    <row r="2" spans="1:27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4"/>
      <c r="Y2" s="4"/>
      <c r="Z2" s="4"/>
      <c r="AA2" s="4"/>
    </row>
    <row r="3" spans="1:27" ht="18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  <c r="X3" s="4"/>
      <c r="Y3" s="4"/>
      <c r="Z3" s="4"/>
      <c r="AA3" s="4"/>
    </row>
    <row r="4" spans="1:27" ht="23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4"/>
      <c r="Y4" s="4"/>
      <c r="Z4" s="4"/>
      <c r="AA4" s="4"/>
    </row>
    <row r="5" spans="1:27" ht="19.5" customHeight="1">
      <c r="A5" s="127" t="s">
        <v>0</v>
      </c>
      <c r="B5" s="114" t="s">
        <v>1</v>
      </c>
      <c r="C5" s="114" t="s">
        <v>2</v>
      </c>
      <c r="D5" s="120" t="s">
        <v>71</v>
      </c>
      <c r="E5" s="120"/>
      <c r="F5" s="120"/>
      <c r="G5" s="120" t="s">
        <v>72</v>
      </c>
      <c r="H5" s="120"/>
      <c r="I5" s="120"/>
      <c r="J5" s="120" t="s">
        <v>65</v>
      </c>
      <c r="K5" s="120"/>
      <c r="L5" s="120"/>
      <c r="M5" s="120"/>
      <c r="N5" s="100"/>
      <c r="O5" s="100"/>
      <c r="P5" s="119" t="s">
        <v>67</v>
      </c>
      <c r="Q5" s="120" t="s">
        <v>81</v>
      </c>
      <c r="R5" s="120"/>
      <c r="S5" s="120"/>
      <c r="T5" s="120"/>
      <c r="U5" s="120"/>
      <c r="V5" s="120"/>
      <c r="W5" s="121"/>
      <c r="X5" s="106" t="s">
        <v>102</v>
      </c>
      <c r="Y5" s="107"/>
      <c r="Z5" s="107"/>
      <c r="AA5" s="113"/>
    </row>
    <row r="6" spans="1:27" ht="21.75" customHeight="1">
      <c r="A6" s="127"/>
      <c r="B6" s="114"/>
      <c r="C6" s="114"/>
      <c r="D6" s="114" t="s">
        <v>69</v>
      </c>
      <c r="E6" s="114" t="s">
        <v>70</v>
      </c>
      <c r="F6" s="114" t="s">
        <v>68</v>
      </c>
      <c r="G6" s="114" t="s">
        <v>69</v>
      </c>
      <c r="H6" s="114" t="s">
        <v>70</v>
      </c>
      <c r="I6" s="114" t="s">
        <v>68</v>
      </c>
      <c r="J6" s="114" t="s">
        <v>69</v>
      </c>
      <c r="K6" s="114" t="s">
        <v>73</v>
      </c>
      <c r="L6" s="114" t="s">
        <v>70</v>
      </c>
      <c r="M6" s="126" t="s">
        <v>68</v>
      </c>
      <c r="N6" s="100"/>
      <c r="O6" s="101"/>
      <c r="P6" s="119"/>
      <c r="Q6" s="114" t="s">
        <v>69</v>
      </c>
      <c r="R6" s="98"/>
      <c r="S6" s="98"/>
      <c r="T6" s="98" t="s">
        <v>99</v>
      </c>
      <c r="U6" s="114" t="s">
        <v>73</v>
      </c>
      <c r="V6" s="114" t="s">
        <v>82</v>
      </c>
      <c r="W6" s="114" t="s">
        <v>78</v>
      </c>
      <c r="X6" s="123" t="s">
        <v>69</v>
      </c>
      <c r="Y6" s="123" t="s">
        <v>103</v>
      </c>
      <c r="Z6" s="105"/>
      <c r="AA6" s="105" t="s">
        <v>100</v>
      </c>
    </row>
    <row r="7" spans="1:27" ht="32.25" customHeight="1">
      <c r="A7" s="127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26"/>
      <c r="N7" s="100"/>
      <c r="O7" s="101"/>
      <c r="P7" s="119"/>
      <c r="Q7" s="114"/>
      <c r="R7" s="98" t="s">
        <v>97</v>
      </c>
      <c r="S7" s="98" t="s">
        <v>98</v>
      </c>
      <c r="T7" s="98"/>
      <c r="U7" s="114"/>
      <c r="V7" s="114"/>
      <c r="W7" s="114"/>
      <c r="X7" s="114"/>
      <c r="Y7" s="114"/>
      <c r="Z7" s="98" t="s">
        <v>104</v>
      </c>
      <c r="AA7" s="98" t="s">
        <v>105</v>
      </c>
    </row>
    <row r="8" spans="1:27" ht="11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/>
      <c r="G8" s="52">
        <v>6</v>
      </c>
      <c r="H8" s="52">
        <v>7</v>
      </c>
      <c r="I8" s="52">
        <v>8</v>
      </c>
      <c r="J8" s="52">
        <v>9</v>
      </c>
      <c r="K8" s="41">
        <v>10</v>
      </c>
      <c r="L8" s="52">
        <v>11</v>
      </c>
      <c r="M8" s="41">
        <v>12</v>
      </c>
      <c r="N8" s="41">
        <v>13</v>
      </c>
      <c r="O8" s="41">
        <v>14</v>
      </c>
      <c r="P8" s="53">
        <v>15</v>
      </c>
      <c r="Q8" s="52">
        <v>4</v>
      </c>
      <c r="R8" s="52">
        <v>5</v>
      </c>
      <c r="S8" s="52">
        <v>6</v>
      </c>
      <c r="T8" s="52">
        <v>7</v>
      </c>
      <c r="U8" s="41">
        <v>5</v>
      </c>
      <c r="V8" s="52">
        <v>8</v>
      </c>
      <c r="W8" s="41">
        <v>9</v>
      </c>
      <c r="X8" s="88">
        <v>10</v>
      </c>
      <c r="Y8" s="88">
        <v>11</v>
      </c>
      <c r="Z8" s="88">
        <v>12</v>
      </c>
      <c r="AA8" s="88">
        <v>13</v>
      </c>
    </row>
    <row r="9" spans="1:27" ht="23.25" customHeight="1">
      <c r="A9" s="42">
        <v>1</v>
      </c>
      <c r="B9" s="34" t="s">
        <v>3</v>
      </c>
      <c r="C9" s="43" t="s">
        <v>4</v>
      </c>
      <c r="D9" s="48">
        <f>D10+D11+D12+D13+D14+D15+D16+D17</f>
        <v>190865</v>
      </c>
      <c r="E9" s="46">
        <f aca="true" t="shared" si="0" ref="E9:J9">E10+E11+E12+E13+E14+E15+E16+E17</f>
        <v>217771</v>
      </c>
      <c r="F9" s="46">
        <f>D9-E9</f>
        <v>-26906</v>
      </c>
      <c r="G9" s="48">
        <f t="shared" si="0"/>
        <v>194380</v>
      </c>
      <c r="H9" s="58">
        <f t="shared" si="0"/>
        <v>224146</v>
      </c>
      <c r="I9" s="46">
        <f>G9-H9</f>
        <v>-29766</v>
      </c>
      <c r="J9" s="45">
        <f t="shared" si="0"/>
        <v>194380</v>
      </c>
      <c r="K9" s="69">
        <v>187127.35</v>
      </c>
      <c r="L9" s="65">
        <f>L10+L11+L13</f>
        <v>224853.1</v>
      </c>
      <c r="M9" s="47">
        <f>K9-L9</f>
        <v>-37725.75</v>
      </c>
      <c r="N9" s="47">
        <f>L9-J9</f>
        <v>30473.100000000006</v>
      </c>
      <c r="O9" s="44"/>
      <c r="P9" s="7"/>
      <c r="Q9" s="45">
        <f>Q10+Q11+Q12+Q13+Q14+Q15+Q16+Q17</f>
        <v>194171.1</v>
      </c>
      <c r="R9" s="45">
        <v>18429.38</v>
      </c>
      <c r="S9" s="45">
        <v>568.9</v>
      </c>
      <c r="T9" s="45">
        <f>Q9+R9+S9</f>
        <v>213169.38</v>
      </c>
      <c r="U9" s="69">
        <f>U21+U18</f>
        <v>182838.2646552</v>
      </c>
      <c r="V9" s="69">
        <f>V10+V11+V12+V13+V14+V15+V16+V17</f>
        <v>217992</v>
      </c>
      <c r="W9" s="47">
        <f>T9-V9</f>
        <v>-4822.619999999995</v>
      </c>
      <c r="X9" s="69">
        <v>194171</v>
      </c>
      <c r="Y9" s="108">
        <v>18429.38</v>
      </c>
      <c r="Z9" s="90">
        <v>872.64</v>
      </c>
      <c r="AA9" s="90">
        <f>X9+Y9+Z9</f>
        <v>213473.02000000002</v>
      </c>
    </row>
    <row r="10" spans="1:27" ht="12.75" customHeight="1">
      <c r="A10" s="1"/>
      <c r="B10" s="35" t="s">
        <v>48</v>
      </c>
      <c r="C10" s="33" t="s">
        <v>4</v>
      </c>
      <c r="D10" s="23">
        <v>6999.6</v>
      </c>
      <c r="E10" s="20">
        <v>7769</v>
      </c>
      <c r="F10" s="25">
        <f>D10-E10</f>
        <v>-769.3999999999996</v>
      </c>
      <c r="G10" s="23">
        <v>7323</v>
      </c>
      <c r="H10" s="59">
        <v>11389</v>
      </c>
      <c r="I10" s="25">
        <f>G10-H10</f>
        <v>-4066</v>
      </c>
      <c r="J10" s="24">
        <v>7323</v>
      </c>
      <c r="K10" s="57">
        <f>K9/J9*J10</f>
        <v>7049.766354820455</v>
      </c>
      <c r="L10" s="70">
        <v>18182.3</v>
      </c>
      <c r="M10" s="47">
        <f aca="true" t="shared" si="1" ref="M10:M73">K10-L10</f>
        <v>-11132.533645179545</v>
      </c>
      <c r="N10" s="6">
        <f>L10-J10</f>
        <v>10859.3</v>
      </c>
      <c r="O10" s="21"/>
      <c r="P10" s="7"/>
      <c r="Q10" s="24">
        <v>7114.1</v>
      </c>
      <c r="R10" s="24">
        <v>0</v>
      </c>
      <c r="S10" s="24">
        <v>568.9</v>
      </c>
      <c r="T10" s="45">
        <f>Q10+R10+S10</f>
        <v>7683</v>
      </c>
      <c r="U10" s="5">
        <f>U9*0.0377</f>
        <v>6893.00257750104</v>
      </c>
      <c r="V10" s="84">
        <v>12356.1</v>
      </c>
      <c r="W10" s="47">
        <f aca="true" t="shared" si="2" ref="W10:W24">T10-V10</f>
        <v>-4673.1</v>
      </c>
      <c r="X10" s="89">
        <v>7114</v>
      </c>
      <c r="Y10" s="84"/>
      <c r="Z10" s="90">
        <v>872.4</v>
      </c>
      <c r="AA10" s="90">
        <f>X10+Y10+Z10</f>
        <v>7986.4</v>
      </c>
    </row>
    <row r="11" spans="1:27" ht="17.25" customHeight="1">
      <c r="A11" s="1"/>
      <c r="B11" s="35" t="s">
        <v>49</v>
      </c>
      <c r="C11" s="33" t="s">
        <v>4</v>
      </c>
      <c r="D11" s="23">
        <v>183502</v>
      </c>
      <c r="E11" s="20">
        <v>208806</v>
      </c>
      <c r="F11" s="25">
        <f aca="true" t="shared" si="3" ref="F11:F74">D11-E11</f>
        <v>-25304</v>
      </c>
      <c r="G11" s="23">
        <v>186668</v>
      </c>
      <c r="H11" s="59">
        <v>212191</v>
      </c>
      <c r="I11" s="25">
        <f aca="true" t="shared" si="4" ref="I11:I74">G11-H11</f>
        <v>-25523</v>
      </c>
      <c r="J11" s="24">
        <v>186668</v>
      </c>
      <c r="K11" s="5">
        <f>K9/J9*J11</f>
        <v>179703.09789998972</v>
      </c>
      <c r="L11" s="63">
        <v>206150.1</v>
      </c>
      <c r="M11" s="47">
        <f t="shared" si="1"/>
        <v>-26447.002100010286</v>
      </c>
      <c r="N11" s="6">
        <f aca="true" t="shared" si="5" ref="N11:N74">L11-J11</f>
        <v>19482.100000000006</v>
      </c>
      <c r="O11" s="21"/>
      <c r="P11" s="7"/>
      <c r="Q11" s="24">
        <v>186668</v>
      </c>
      <c r="R11" s="24">
        <v>18429.38</v>
      </c>
      <c r="S11" s="24">
        <v>0</v>
      </c>
      <c r="T11" s="45">
        <f>Q11+R11+S11</f>
        <v>205097.38</v>
      </c>
      <c r="U11" s="5">
        <f>U9*0.96</f>
        <v>175524.734068992</v>
      </c>
      <c r="V11" s="84">
        <v>205174</v>
      </c>
      <c r="W11" s="47">
        <f t="shared" si="2"/>
        <v>-76.61999999999534</v>
      </c>
      <c r="X11" s="88">
        <v>186668</v>
      </c>
      <c r="Y11" s="84">
        <v>18429.38</v>
      </c>
      <c r="Z11" s="88"/>
      <c r="AA11" s="90">
        <f>X11+Y11+Z11</f>
        <v>205097.38</v>
      </c>
    </row>
    <row r="12" spans="1:27" ht="0.75" customHeight="1">
      <c r="A12" s="1"/>
      <c r="B12" s="35" t="s">
        <v>50</v>
      </c>
      <c r="C12" s="33" t="s">
        <v>4</v>
      </c>
      <c r="D12" s="23"/>
      <c r="E12" s="20"/>
      <c r="F12" s="25">
        <f t="shared" si="3"/>
        <v>0</v>
      </c>
      <c r="G12" s="23"/>
      <c r="H12" s="59"/>
      <c r="I12" s="25">
        <f t="shared" si="4"/>
        <v>0</v>
      </c>
      <c r="J12" s="24"/>
      <c r="K12" s="5"/>
      <c r="L12" s="63">
        <v>520.7</v>
      </c>
      <c r="M12" s="47">
        <f t="shared" si="1"/>
        <v>-520.7</v>
      </c>
      <c r="N12" s="6">
        <f t="shared" si="5"/>
        <v>520.7</v>
      </c>
      <c r="O12" s="21"/>
      <c r="P12" s="7"/>
      <c r="Q12" s="24"/>
      <c r="R12" s="24"/>
      <c r="S12" s="24"/>
      <c r="T12" s="24"/>
      <c r="U12" s="84"/>
      <c r="V12" s="84"/>
      <c r="W12" s="47">
        <f t="shared" si="2"/>
        <v>0</v>
      </c>
      <c r="X12" s="88"/>
      <c r="Y12" s="84"/>
      <c r="Z12" s="88"/>
      <c r="AA12" s="88"/>
    </row>
    <row r="13" spans="1:27" ht="22.5" customHeight="1">
      <c r="A13" s="1"/>
      <c r="B13" s="35" t="s">
        <v>51</v>
      </c>
      <c r="C13" s="33" t="s">
        <v>4</v>
      </c>
      <c r="D13" s="23">
        <v>363.4</v>
      </c>
      <c r="E13" s="20">
        <v>598</v>
      </c>
      <c r="F13" s="25">
        <f t="shared" si="3"/>
        <v>-234.60000000000002</v>
      </c>
      <c r="G13" s="23">
        <v>389</v>
      </c>
      <c r="H13" s="59">
        <v>566</v>
      </c>
      <c r="I13" s="25">
        <f t="shared" si="4"/>
        <v>-177</v>
      </c>
      <c r="J13" s="24">
        <v>389</v>
      </c>
      <c r="K13" s="5">
        <f>K9/J9*J13</f>
        <v>374.48574518983435</v>
      </c>
      <c r="L13" s="63">
        <v>520.7</v>
      </c>
      <c r="M13" s="47">
        <f t="shared" si="1"/>
        <v>-146.2142548101657</v>
      </c>
      <c r="N13" s="6">
        <f t="shared" si="5"/>
        <v>131.70000000000005</v>
      </c>
      <c r="O13" s="21"/>
      <c r="P13" s="7"/>
      <c r="Q13" s="24">
        <v>389</v>
      </c>
      <c r="R13" s="24">
        <v>0</v>
      </c>
      <c r="S13" s="24">
        <v>0</v>
      </c>
      <c r="T13" s="45">
        <f>Q13+R13+S13</f>
        <v>389</v>
      </c>
      <c r="U13" s="84">
        <f>U9-U10-U11</f>
        <v>420.5280087069841</v>
      </c>
      <c r="V13" s="84">
        <v>461.9</v>
      </c>
      <c r="W13" s="47">
        <f t="shared" si="2"/>
        <v>-72.89999999999998</v>
      </c>
      <c r="X13" s="88">
        <v>389</v>
      </c>
      <c r="Y13" s="84"/>
      <c r="Z13" s="88"/>
      <c r="AA13" s="90">
        <f>X13+Y13+Z13</f>
        <v>389</v>
      </c>
    </row>
    <row r="14" spans="1:27" ht="0.75" customHeight="1" hidden="1">
      <c r="A14" s="1"/>
      <c r="B14" s="35" t="s">
        <v>52</v>
      </c>
      <c r="C14" s="33" t="s">
        <v>4</v>
      </c>
      <c r="D14" s="23"/>
      <c r="E14" s="20">
        <v>598</v>
      </c>
      <c r="F14" s="25">
        <f t="shared" si="3"/>
        <v>-598</v>
      </c>
      <c r="G14" s="23"/>
      <c r="H14" s="59"/>
      <c r="I14" s="25">
        <f t="shared" si="4"/>
        <v>0</v>
      </c>
      <c r="J14" s="24"/>
      <c r="K14" s="5"/>
      <c r="L14" s="63"/>
      <c r="M14" s="47">
        <f t="shared" si="1"/>
        <v>0</v>
      </c>
      <c r="N14" s="6">
        <f t="shared" si="5"/>
        <v>0</v>
      </c>
      <c r="O14" s="21"/>
      <c r="P14" s="7"/>
      <c r="Q14" s="24"/>
      <c r="R14" s="24"/>
      <c r="S14" s="24"/>
      <c r="T14" s="24"/>
      <c r="U14" s="84"/>
      <c r="V14" s="84"/>
      <c r="W14" s="47">
        <f t="shared" si="2"/>
        <v>0</v>
      </c>
      <c r="X14" s="88"/>
      <c r="Y14" s="84"/>
      <c r="Z14" s="88"/>
      <c r="AA14" s="88"/>
    </row>
    <row r="15" spans="1:27" ht="12.75" customHeight="1" hidden="1">
      <c r="A15" s="1"/>
      <c r="B15" s="35" t="s">
        <v>53</v>
      </c>
      <c r="C15" s="33" t="s">
        <v>4</v>
      </c>
      <c r="D15" s="23"/>
      <c r="E15" s="20"/>
      <c r="F15" s="25">
        <f t="shared" si="3"/>
        <v>0</v>
      </c>
      <c r="G15" s="23"/>
      <c r="H15" s="59"/>
      <c r="I15" s="25">
        <f t="shared" si="4"/>
        <v>0</v>
      </c>
      <c r="J15" s="24"/>
      <c r="K15" s="5"/>
      <c r="L15" s="63"/>
      <c r="M15" s="47">
        <f t="shared" si="1"/>
        <v>0</v>
      </c>
      <c r="N15" s="6">
        <f t="shared" si="5"/>
        <v>0</v>
      </c>
      <c r="O15" s="21"/>
      <c r="P15" s="7"/>
      <c r="Q15" s="24"/>
      <c r="R15" s="24"/>
      <c r="S15" s="24"/>
      <c r="T15" s="24"/>
      <c r="U15" s="84"/>
      <c r="V15" s="84"/>
      <c r="W15" s="47">
        <f t="shared" si="2"/>
        <v>0</v>
      </c>
      <c r="X15" s="88"/>
      <c r="Y15" s="84"/>
      <c r="Z15" s="88"/>
      <c r="AA15" s="88"/>
    </row>
    <row r="16" spans="1:27" ht="12.75" customHeight="1" hidden="1">
      <c r="A16" s="1"/>
      <c r="B16" s="35" t="s">
        <v>54</v>
      </c>
      <c r="C16" s="33" t="s">
        <v>4</v>
      </c>
      <c r="D16" s="23"/>
      <c r="E16" s="20"/>
      <c r="F16" s="25">
        <f t="shared" si="3"/>
        <v>0</v>
      </c>
      <c r="G16" s="23"/>
      <c r="H16" s="59"/>
      <c r="I16" s="25">
        <f t="shared" si="4"/>
        <v>0</v>
      </c>
      <c r="J16" s="24"/>
      <c r="K16" s="5"/>
      <c r="L16" s="63"/>
      <c r="M16" s="47">
        <f t="shared" si="1"/>
        <v>0</v>
      </c>
      <c r="N16" s="6">
        <f t="shared" si="5"/>
        <v>0</v>
      </c>
      <c r="O16" s="21"/>
      <c r="P16" s="7"/>
      <c r="Q16" s="24"/>
      <c r="R16" s="24"/>
      <c r="S16" s="24"/>
      <c r="T16" s="24"/>
      <c r="U16" s="84"/>
      <c r="V16" s="84"/>
      <c r="W16" s="47">
        <f t="shared" si="2"/>
        <v>0</v>
      </c>
      <c r="X16" s="88"/>
      <c r="Y16" s="84"/>
      <c r="Z16" s="88"/>
      <c r="AA16" s="88"/>
    </row>
    <row r="17" spans="1:27" ht="12.75" customHeight="1" hidden="1">
      <c r="A17" s="1"/>
      <c r="B17" s="35" t="s">
        <v>64</v>
      </c>
      <c r="C17" s="33" t="s">
        <v>4</v>
      </c>
      <c r="D17" s="23"/>
      <c r="E17" s="20"/>
      <c r="F17" s="25">
        <f t="shared" si="3"/>
        <v>0</v>
      </c>
      <c r="G17" s="23"/>
      <c r="H17" s="59"/>
      <c r="I17" s="25">
        <f t="shared" si="4"/>
        <v>0</v>
      </c>
      <c r="J17" s="24"/>
      <c r="K17" s="5"/>
      <c r="L17" s="63"/>
      <c r="M17" s="47">
        <f t="shared" si="1"/>
        <v>0</v>
      </c>
      <c r="N17" s="6">
        <f>L17-J17</f>
        <v>0</v>
      </c>
      <c r="O17" s="21"/>
      <c r="P17" s="7"/>
      <c r="Q17" s="24"/>
      <c r="R17" s="24"/>
      <c r="S17" s="24"/>
      <c r="T17" s="24"/>
      <c r="U17" s="84"/>
      <c r="V17" s="84"/>
      <c r="W17" s="47">
        <f t="shared" si="2"/>
        <v>0</v>
      </c>
      <c r="X17" s="88"/>
      <c r="Y17" s="84"/>
      <c r="Z17" s="88"/>
      <c r="AA17" s="88"/>
    </row>
    <row r="18" spans="1:27" ht="12.75" customHeight="1">
      <c r="A18" s="1">
        <v>2</v>
      </c>
      <c r="B18" s="35" t="s">
        <v>14</v>
      </c>
      <c r="C18" s="33" t="s">
        <v>4</v>
      </c>
      <c r="D18" s="23">
        <v>5917</v>
      </c>
      <c r="E18" s="20">
        <v>6733</v>
      </c>
      <c r="F18" s="25">
        <f t="shared" si="3"/>
        <v>-816</v>
      </c>
      <c r="G18" s="23">
        <v>6025.8</v>
      </c>
      <c r="H18" s="59">
        <v>6947</v>
      </c>
      <c r="I18" s="25">
        <f t="shared" si="4"/>
        <v>-921.1999999999998</v>
      </c>
      <c r="J18" s="24">
        <v>6025.8</v>
      </c>
      <c r="K18" s="5">
        <v>5802.398447999972</v>
      </c>
      <c r="L18" s="70">
        <v>6970.45</v>
      </c>
      <c r="M18" s="47">
        <f t="shared" si="1"/>
        <v>-1168.051552000028</v>
      </c>
      <c r="N18" s="6">
        <f t="shared" si="5"/>
        <v>944.6499999999996</v>
      </c>
      <c r="O18" s="21"/>
      <c r="P18" s="7"/>
      <c r="Q18" s="24">
        <v>6061</v>
      </c>
      <c r="R18" s="24">
        <v>465.6</v>
      </c>
      <c r="S18" s="24">
        <v>17.12</v>
      </c>
      <c r="T18" s="24">
        <f>Q18+R18+S18</f>
        <v>6543.72</v>
      </c>
      <c r="U18" s="5">
        <f>U21*0.032</f>
        <v>5669.4035552000005</v>
      </c>
      <c r="V18" s="84">
        <v>6758.2</v>
      </c>
      <c r="W18" s="47">
        <f t="shared" si="2"/>
        <v>-214.47999999999956</v>
      </c>
      <c r="X18" s="90">
        <v>5993.81</v>
      </c>
      <c r="Y18" s="84">
        <v>465.6</v>
      </c>
      <c r="Z18" s="90">
        <v>17.2</v>
      </c>
      <c r="AA18" s="90">
        <f>X18+Y18+Z18</f>
        <v>6476.610000000001</v>
      </c>
    </row>
    <row r="19" spans="1:27" ht="12.75" customHeight="1">
      <c r="A19" s="1"/>
      <c r="B19" s="35" t="s">
        <v>14</v>
      </c>
      <c r="C19" s="33" t="s">
        <v>5</v>
      </c>
      <c r="D19" s="26">
        <f aca="true" t="shared" si="6" ref="D19:J19">D9/(D21+1E-124)*100-100</f>
        <v>3.1992776347946403</v>
      </c>
      <c r="E19" s="31">
        <f t="shared" si="6"/>
        <v>3.483653297852115</v>
      </c>
      <c r="F19" s="25">
        <f t="shared" si="3"/>
        <v>-0.2843756630574745</v>
      </c>
      <c r="G19" s="26">
        <f t="shared" si="6"/>
        <v>3.198747046799923</v>
      </c>
      <c r="H19" s="60">
        <f t="shared" si="6"/>
        <v>3.1984493482934937</v>
      </c>
      <c r="I19" s="25">
        <f t="shared" si="4"/>
        <v>0.0002976985064293558</v>
      </c>
      <c r="J19" s="27">
        <f t="shared" si="6"/>
        <v>3.199185364594996</v>
      </c>
      <c r="K19" s="22">
        <f>K9/(K21+1E-124)*100-100</f>
        <v>3.200000028677792</v>
      </c>
      <c r="L19" s="62">
        <f>L9/(L21+1E-124)*100-100</f>
        <v>3.199176253822884</v>
      </c>
      <c r="M19" s="47">
        <f t="shared" si="1"/>
        <v>0.0008237748549078105</v>
      </c>
      <c r="N19" s="6"/>
      <c r="O19" s="21"/>
      <c r="P19" s="7"/>
      <c r="Q19" s="27">
        <v>3.12</v>
      </c>
      <c r="R19" s="27">
        <v>2.53</v>
      </c>
      <c r="S19" s="27">
        <v>3.01</v>
      </c>
      <c r="T19" s="27">
        <f>T9/(T21+1E-124)*100-100</f>
        <v>3.1669445121191586</v>
      </c>
      <c r="U19" s="22">
        <v>3.2</v>
      </c>
      <c r="V19" s="22">
        <f>V9/(V21+1E-124)*100-100</f>
        <v>3.1993932789165456</v>
      </c>
      <c r="W19" s="47">
        <f t="shared" si="2"/>
        <v>-0.03244876679738695</v>
      </c>
      <c r="X19" s="102">
        <v>3.09</v>
      </c>
      <c r="Y19" s="108">
        <v>2.53</v>
      </c>
      <c r="Z19" s="88">
        <v>3</v>
      </c>
      <c r="AA19" s="102">
        <f>AA18/AA9*100</f>
        <v>3.0339243807015985</v>
      </c>
    </row>
    <row r="20" spans="1:27" ht="25.5" hidden="1">
      <c r="A20" s="42">
        <v>3</v>
      </c>
      <c r="B20" s="34" t="s">
        <v>66</v>
      </c>
      <c r="C20" s="43" t="s">
        <v>4</v>
      </c>
      <c r="D20" s="48"/>
      <c r="E20" s="54"/>
      <c r="F20" s="25">
        <f t="shared" si="3"/>
        <v>0</v>
      </c>
      <c r="G20" s="48"/>
      <c r="H20" s="58"/>
      <c r="I20" s="25">
        <f t="shared" si="4"/>
        <v>0</v>
      </c>
      <c r="J20" s="45"/>
      <c r="K20" s="5">
        <v>0</v>
      </c>
      <c r="L20" s="71">
        <v>0</v>
      </c>
      <c r="M20" s="47">
        <f t="shared" si="1"/>
        <v>0</v>
      </c>
      <c r="N20" s="47">
        <f>L20-J20</f>
        <v>0</v>
      </c>
      <c r="O20" s="44"/>
      <c r="P20" s="7"/>
      <c r="Q20" s="45"/>
      <c r="R20" s="45"/>
      <c r="S20" s="45"/>
      <c r="T20" s="45"/>
      <c r="U20" s="84"/>
      <c r="V20" s="84"/>
      <c r="W20" s="47">
        <f t="shared" si="2"/>
        <v>0</v>
      </c>
      <c r="X20" s="88"/>
      <c r="Y20" s="84"/>
      <c r="Z20" s="88"/>
      <c r="AA20" s="88"/>
    </row>
    <row r="21" spans="1:27" ht="12.75" customHeight="1">
      <c r="A21" s="42">
        <v>4</v>
      </c>
      <c r="B21" s="34" t="s">
        <v>20</v>
      </c>
      <c r="C21" s="43" t="s">
        <v>4</v>
      </c>
      <c r="D21" s="50">
        <v>184948</v>
      </c>
      <c r="E21" s="49">
        <v>210440</v>
      </c>
      <c r="F21" s="25">
        <f t="shared" si="3"/>
        <v>-25492</v>
      </c>
      <c r="G21" s="50">
        <v>188355</v>
      </c>
      <c r="H21" s="66">
        <v>217199</v>
      </c>
      <c r="I21" s="25">
        <f t="shared" si="4"/>
        <v>-28844</v>
      </c>
      <c r="J21" s="72">
        <v>188354.2</v>
      </c>
      <c r="K21" s="76">
        <f>K24+K22</f>
        <v>181324.95150000002</v>
      </c>
      <c r="L21" s="85">
        <f>L9-L18</f>
        <v>217882.65</v>
      </c>
      <c r="M21" s="47">
        <f t="shared" si="1"/>
        <v>-36557.69849999997</v>
      </c>
      <c r="N21" s="47">
        <f t="shared" si="5"/>
        <v>29528.449999999983</v>
      </c>
      <c r="O21" s="44"/>
      <c r="P21" s="7"/>
      <c r="Q21" s="72">
        <v>188110.1</v>
      </c>
      <c r="R21" s="72">
        <v>17963.78</v>
      </c>
      <c r="S21" s="72">
        <v>551.78</v>
      </c>
      <c r="T21" s="45">
        <f>Q21+R21+S21</f>
        <v>206625.66</v>
      </c>
      <c r="U21" s="22">
        <f>U24+U22</f>
        <v>177168.8611</v>
      </c>
      <c r="V21" s="91">
        <v>211233.8</v>
      </c>
      <c r="W21" s="47">
        <f t="shared" si="2"/>
        <v>-4608.139999999985</v>
      </c>
      <c r="X21" s="96">
        <v>188177.19</v>
      </c>
      <c r="Y21" s="84">
        <v>17963.7</v>
      </c>
      <c r="Z21" s="90">
        <v>555.2</v>
      </c>
      <c r="AA21" s="90">
        <f>X21+Y21+Z21</f>
        <v>206696.09000000003</v>
      </c>
    </row>
    <row r="22" spans="1:27" ht="12.75" customHeight="1">
      <c r="A22" s="1">
        <v>5</v>
      </c>
      <c r="B22" s="35" t="s">
        <v>21</v>
      </c>
      <c r="C22" s="33" t="s">
        <v>4</v>
      </c>
      <c r="D22" s="23">
        <v>20834</v>
      </c>
      <c r="E22" s="20">
        <v>41560</v>
      </c>
      <c r="F22" s="25">
        <f t="shared" si="3"/>
        <v>-20726</v>
      </c>
      <c r="G22" s="23">
        <v>18315</v>
      </c>
      <c r="H22" s="59">
        <v>54907</v>
      </c>
      <c r="I22" s="25">
        <f t="shared" si="4"/>
        <v>-36592</v>
      </c>
      <c r="J22" s="24">
        <v>18314.2</v>
      </c>
      <c r="K22" s="5">
        <v>17629.951500000017</v>
      </c>
      <c r="L22" s="70">
        <f>L21-L24</f>
        <v>54187.649999999994</v>
      </c>
      <c r="M22" s="47">
        <f t="shared" si="1"/>
        <v>-36557.69849999998</v>
      </c>
      <c r="N22" s="6">
        <f t="shared" si="5"/>
        <v>35873.45</v>
      </c>
      <c r="O22" s="21"/>
      <c r="P22" s="7"/>
      <c r="Q22" s="93">
        <v>18310.52</v>
      </c>
      <c r="R22" s="93">
        <v>0</v>
      </c>
      <c r="S22" s="93">
        <v>49.98</v>
      </c>
      <c r="T22" s="93">
        <f>T21-T24</f>
        <v>18360.50000000003</v>
      </c>
      <c r="U22" s="5">
        <f>U24*U23/100</f>
        <v>17225.8611</v>
      </c>
      <c r="V22" s="84">
        <f>V21-V24</f>
        <v>51290.79999999999</v>
      </c>
      <c r="W22" s="47">
        <f t="shared" si="2"/>
        <v>-32930.29999999996</v>
      </c>
      <c r="X22" s="89">
        <v>18377.62</v>
      </c>
      <c r="Y22" s="84">
        <v>0</v>
      </c>
      <c r="Z22" s="90">
        <v>50.5</v>
      </c>
      <c r="AA22" s="90">
        <f>AA21-AA24</f>
        <v>18428.119999999995</v>
      </c>
    </row>
    <row r="23" spans="1:27" ht="12.75" customHeight="1">
      <c r="A23" s="1"/>
      <c r="B23" s="35" t="s">
        <v>21</v>
      </c>
      <c r="C23" s="33" t="s">
        <v>5</v>
      </c>
      <c r="D23" s="26">
        <f aca="true" t="shared" si="7" ref="D23:L23">D21/(D24+1E-144)*100-100</f>
        <v>12.694834078750134</v>
      </c>
      <c r="E23" s="31">
        <f t="shared" si="7"/>
        <v>24.609189957366183</v>
      </c>
      <c r="F23" s="25">
        <f t="shared" si="3"/>
        <v>-11.91435587861605</v>
      </c>
      <c r="G23" s="26">
        <f t="shared" si="7"/>
        <v>10.770995059985893</v>
      </c>
      <c r="H23" s="60">
        <f t="shared" si="7"/>
        <v>33.83222832918443</v>
      </c>
      <c r="I23" s="25">
        <f t="shared" si="4"/>
        <v>-23.06123326919854</v>
      </c>
      <c r="J23" s="27">
        <f t="shared" si="7"/>
        <v>10.770524582451202</v>
      </c>
      <c r="K23" s="22">
        <f t="shared" si="7"/>
        <v>10.77000000000001</v>
      </c>
      <c r="L23" s="62">
        <f t="shared" si="7"/>
        <v>33.10281315861815</v>
      </c>
      <c r="M23" s="47">
        <f t="shared" si="1"/>
        <v>-22.332813158618137</v>
      </c>
      <c r="N23" s="6"/>
      <c r="O23" s="21"/>
      <c r="P23" s="7"/>
      <c r="Q23" s="27">
        <v>9.73</v>
      </c>
      <c r="R23" s="27">
        <v>0</v>
      </c>
      <c r="S23" s="27">
        <v>9.06</v>
      </c>
      <c r="T23" s="27">
        <f>T22/T21*100</f>
        <v>8.885876033015467</v>
      </c>
      <c r="U23" s="22">
        <v>10.77</v>
      </c>
      <c r="V23" s="22">
        <f>V21/(V24+1E-144)*100-100</f>
        <v>32.06817428708976</v>
      </c>
      <c r="W23" s="47">
        <f t="shared" si="2"/>
        <v>-23.182298254074293</v>
      </c>
      <c r="X23" s="22">
        <v>9.77</v>
      </c>
      <c r="Y23" s="108">
        <v>0</v>
      </c>
      <c r="Z23" s="90">
        <v>9.1</v>
      </c>
      <c r="AA23" s="22">
        <f>AA22/AA21*100</f>
        <v>8.915562940740674</v>
      </c>
    </row>
    <row r="24" spans="1:27" ht="23.25" customHeight="1">
      <c r="A24" s="42">
        <v>6</v>
      </c>
      <c r="B24" s="34" t="s">
        <v>6</v>
      </c>
      <c r="C24" s="43" t="s">
        <v>4</v>
      </c>
      <c r="D24" s="50">
        <v>164114</v>
      </c>
      <c r="E24" s="51">
        <v>168880</v>
      </c>
      <c r="F24" s="25">
        <f t="shared" si="3"/>
        <v>-4766</v>
      </c>
      <c r="G24" s="50">
        <v>170040</v>
      </c>
      <c r="H24" s="66">
        <v>162292</v>
      </c>
      <c r="I24" s="25">
        <f t="shared" si="4"/>
        <v>7748</v>
      </c>
      <c r="J24" s="72">
        <v>170040</v>
      </c>
      <c r="K24" s="76">
        <v>163695</v>
      </c>
      <c r="L24" s="71">
        <v>163695</v>
      </c>
      <c r="M24" s="47">
        <f t="shared" si="1"/>
        <v>0</v>
      </c>
      <c r="N24" s="47">
        <f t="shared" si="5"/>
        <v>-6345</v>
      </c>
      <c r="O24" s="44"/>
      <c r="P24" s="77"/>
      <c r="Q24" s="72">
        <v>169799.58</v>
      </c>
      <c r="R24" s="72">
        <v>17963.78</v>
      </c>
      <c r="S24" s="72">
        <v>501.8</v>
      </c>
      <c r="T24" s="45">
        <f>Q24+R24+S24</f>
        <v>188265.15999999997</v>
      </c>
      <c r="U24" s="91">
        <v>159943</v>
      </c>
      <c r="V24" s="91">
        <v>159943</v>
      </c>
      <c r="W24" s="47">
        <f t="shared" si="2"/>
        <v>28322.159999999974</v>
      </c>
      <c r="X24" s="22">
        <v>169799.57</v>
      </c>
      <c r="Y24" s="84">
        <v>17963.7</v>
      </c>
      <c r="Z24" s="90">
        <v>504.7</v>
      </c>
      <c r="AA24" s="90">
        <f>X24+Y24+Z24</f>
        <v>188267.97000000003</v>
      </c>
    </row>
    <row r="25" spans="1:27" ht="12.75" customHeight="1">
      <c r="A25" s="1"/>
      <c r="B25" s="34" t="s">
        <v>7</v>
      </c>
      <c r="C25" s="33"/>
      <c r="D25" s="28"/>
      <c r="E25" s="32"/>
      <c r="F25" s="25">
        <f t="shared" si="3"/>
        <v>0</v>
      </c>
      <c r="G25" s="28"/>
      <c r="H25" s="61"/>
      <c r="I25" s="25">
        <f t="shared" si="4"/>
        <v>0</v>
      </c>
      <c r="J25" s="73"/>
      <c r="K25" s="5"/>
      <c r="L25" s="74"/>
      <c r="M25" s="47"/>
      <c r="N25" s="6"/>
      <c r="O25" s="21"/>
      <c r="P25" s="7"/>
      <c r="Q25" s="93"/>
      <c r="R25" s="93"/>
      <c r="S25" s="93"/>
      <c r="T25" s="93"/>
      <c r="U25" s="84"/>
      <c r="V25" s="84"/>
      <c r="W25" s="47">
        <f>U25-V25</f>
        <v>0</v>
      </c>
      <c r="X25" s="88"/>
      <c r="Y25" s="109"/>
      <c r="Z25" s="88"/>
      <c r="AA25" s="88"/>
    </row>
    <row r="26" spans="1:27" ht="12.75" customHeight="1">
      <c r="A26" s="1">
        <v>7</v>
      </c>
      <c r="B26" s="34" t="s">
        <v>36</v>
      </c>
      <c r="C26" s="33"/>
      <c r="D26" s="28"/>
      <c r="E26" s="32"/>
      <c r="F26" s="25">
        <f t="shared" si="3"/>
        <v>0</v>
      </c>
      <c r="G26" s="28"/>
      <c r="H26" s="61"/>
      <c r="I26" s="25">
        <f t="shared" si="4"/>
        <v>0</v>
      </c>
      <c r="J26" s="73"/>
      <c r="K26" s="5"/>
      <c r="L26" s="74"/>
      <c r="M26" s="47"/>
      <c r="N26" s="6"/>
      <c r="O26" s="21"/>
      <c r="P26" s="7"/>
      <c r="Q26" s="93"/>
      <c r="R26" s="93"/>
      <c r="S26" s="93"/>
      <c r="T26" s="93"/>
      <c r="U26" s="84"/>
      <c r="V26" s="97"/>
      <c r="W26" s="47">
        <f>U26-V26</f>
        <v>0</v>
      </c>
      <c r="X26" s="88"/>
      <c r="Y26" s="128"/>
      <c r="Z26" s="88"/>
      <c r="AA26" s="88"/>
    </row>
    <row r="27" spans="1:27" ht="24" customHeight="1">
      <c r="A27" s="1"/>
      <c r="B27" s="36" t="s">
        <v>29</v>
      </c>
      <c r="C27" s="33" t="s">
        <v>35</v>
      </c>
      <c r="D27" s="24">
        <v>260</v>
      </c>
      <c r="E27" s="21">
        <f>E29*1000*E28/(E10+1E-94)</f>
        <v>330.9117003475351</v>
      </c>
      <c r="F27" s="25">
        <f t="shared" si="3"/>
        <v>-70.91170034753509</v>
      </c>
      <c r="G27" s="24">
        <v>260</v>
      </c>
      <c r="H27" s="62">
        <f>H29*1000*H28/(H10+1E-94)</f>
        <v>236.87417683729916</v>
      </c>
      <c r="I27" s="25">
        <f t="shared" si="4"/>
        <v>23.12582316270084</v>
      </c>
      <c r="J27" s="24">
        <v>260</v>
      </c>
      <c r="K27" s="5">
        <v>260</v>
      </c>
      <c r="L27" s="80">
        <f>L29/L10*1000*L28</f>
        <v>226.06365217036034</v>
      </c>
      <c r="M27" s="47">
        <f t="shared" si="1"/>
        <v>33.93634782963966</v>
      </c>
      <c r="N27" s="6">
        <f t="shared" si="5"/>
        <v>-33.93634782963966</v>
      </c>
      <c r="O27" s="21"/>
      <c r="P27" s="7"/>
      <c r="Q27" s="93">
        <v>220.05</v>
      </c>
      <c r="R27" s="93">
        <v>0</v>
      </c>
      <c r="S27" s="93">
        <v>220</v>
      </c>
      <c r="T27" s="93">
        <v>220</v>
      </c>
      <c r="U27" s="84">
        <v>220.05</v>
      </c>
      <c r="V27" s="84">
        <f>V29*V28/V10*1000</f>
        <v>260.33343854452454</v>
      </c>
      <c r="W27" s="47">
        <f aca="true" t="shared" si="8" ref="W27:W90">T27-V27</f>
        <v>-40.33343854452454</v>
      </c>
      <c r="X27" s="84">
        <v>220</v>
      </c>
      <c r="Y27" s="110"/>
      <c r="Z27" s="84">
        <v>220</v>
      </c>
      <c r="AA27" s="84">
        <v>220</v>
      </c>
    </row>
    <row r="28" spans="1:27" ht="13.5" customHeight="1">
      <c r="A28" s="1"/>
      <c r="B28" s="36" t="s">
        <v>55</v>
      </c>
      <c r="C28" s="37"/>
      <c r="D28" s="30">
        <v>0.47</v>
      </c>
      <c r="E28" s="29">
        <v>0.47</v>
      </c>
      <c r="F28" s="25">
        <f t="shared" si="3"/>
        <v>0</v>
      </c>
      <c r="G28" s="30">
        <v>0.52</v>
      </c>
      <c r="H28" s="64">
        <v>0.52</v>
      </c>
      <c r="I28" s="25">
        <f t="shared" si="4"/>
        <v>0</v>
      </c>
      <c r="J28" s="24">
        <v>0.52</v>
      </c>
      <c r="K28" s="5">
        <v>0.52</v>
      </c>
      <c r="L28" s="70">
        <f>4250/7000</f>
        <v>0.6071428571428571</v>
      </c>
      <c r="M28" s="47">
        <f t="shared" si="1"/>
        <v>-0.08714285714285708</v>
      </c>
      <c r="N28" s="6"/>
      <c r="O28" s="21"/>
      <c r="P28" s="7"/>
      <c r="Q28" s="30">
        <v>0.59</v>
      </c>
      <c r="R28" s="30">
        <v>0</v>
      </c>
      <c r="S28" s="30">
        <v>0.59</v>
      </c>
      <c r="T28" s="30">
        <v>0.59</v>
      </c>
      <c r="U28" s="92">
        <v>0.59</v>
      </c>
      <c r="V28" s="84">
        <v>0.629</v>
      </c>
      <c r="W28" s="47">
        <f t="shared" si="8"/>
        <v>-0.039000000000000035</v>
      </c>
      <c r="X28" s="88">
        <v>0.59</v>
      </c>
      <c r="Y28" s="111"/>
      <c r="Z28" s="88">
        <v>0.76</v>
      </c>
      <c r="AA28" s="88"/>
    </row>
    <row r="29" spans="1:27" ht="19.5" customHeight="1">
      <c r="A29" s="1"/>
      <c r="B29" s="35" t="s">
        <v>30</v>
      </c>
      <c r="C29" s="33" t="s">
        <v>40</v>
      </c>
      <c r="D29" s="27">
        <f>D27/(D28+1E-97)*D10/1000</f>
        <v>3872.11914893617</v>
      </c>
      <c r="E29" s="6">
        <v>5469.9</v>
      </c>
      <c r="F29" s="25">
        <f t="shared" si="3"/>
        <v>-1597.7808510638297</v>
      </c>
      <c r="G29" s="27">
        <f>G27/(G28+1E-97)*G10/1000</f>
        <v>3661.5</v>
      </c>
      <c r="H29" s="63">
        <v>5188</v>
      </c>
      <c r="I29" s="25">
        <f t="shared" si="4"/>
        <v>-1526.5</v>
      </c>
      <c r="J29" s="27">
        <f>J27/(J28+1E-97)*J10/1000</f>
        <v>3661.5</v>
      </c>
      <c r="K29" s="22">
        <f>K27/(K28+1E-97)*K10/1000</f>
        <v>3524.8831774102273</v>
      </c>
      <c r="L29" s="80">
        <v>6770</v>
      </c>
      <c r="M29" s="47">
        <f t="shared" si="1"/>
        <v>-3245.1168225897727</v>
      </c>
      <c r="N29" s="6">
        <f t="shared" si="5"/>
        <v>3108.5</v>
      </c>
      <c r="O29" s="21"/>
      <c r="P29" s="7"/>
      <c r="Q29" s="27">
        <f>Q27/(Q28+1E-97)*Q10/1000</f>
        <v>2653.3181440677968</v>
      </c>
      <c r="R29" s="27">
        <v>0</v>
      </c>
      <c r="S29" s="27">
        <v>212.18</v>
      </c>
      <c r="T29" s="27">
        <f>T27/(T28+1E-97)*T10/1000</f>
        <v>2864.8474576271187</v>
      </c>
      <c r="U29" s="22">
        <f>U27/(U28+1E-97)*U10/1000</f>
        <v>2570.8563003035656</v>
      </c>
      <c r="V29" s="84">
        <v>5114</v>
      </c>
      <c r="W29" s="47">
        <f t="shared" si="8"/>
        <v>-2249.1525423728813</v>
      </c>
      <c r="X29" s="22">
        <v>2565.7</v>
      </c>
      <c r="Y29" s="109"/>
      <c r="Z29" s="22">
        <v>165.69</v>
      </c>
      <c r="AA29" s="22">
        <f>X29+Z29</f>
        <v>2731.39</v>
      </c>
    </row>
    <row r="30" spans="1:27" ht="12.75">
      <c r="A30" s="1"/>
      <c r="B30" s="35" t="s">
        <v>19</v>
      </c>
      <c r="C30" s="33" t="s">
        <v>39</v>
      </c>
      <c r="D30" s="24">
        <v>1106.94</v>
      </c>
      <c r="E30" s="21">
        <f>E77/(E29+1E-103)*1000</f>
        <v>1262.9115705954405</v>
      </c>
      <c r="F30" s="25">
        <f t="shared" si="3"/>
        <v>-155.97157059544043</v>
      </c>
      <c r="G30" s="24">
        <v>1470.5</v>
      </c>
      <c r="H30" s="62">
        <f>H77/(H29+1E-103)*1000</f>
        <v>1330.0308404009252</v>
      </c>
      <c r="I30" s="25">
        <f t="shared" si="4"/>
        <v>140.46915959907483</v>
      </c>
      <c r="J30" s="24">
        <v>1544</v>
      </c>
      <c r="K30" s="5">
        <v>1544</v>
      </c>
      <c r="L30" s="63">
        <f>L77/L29*1000</f>
        <v>1778.7104874446086</v>
      </c>
      <c r="M30" s="47">
        <f t="shared" si="1"/>
        <v>-234.7104874446086</v>
      </c>
      <c r="N30" s="6">
        <f t="shared" si="5"/>
        <v>234.7104874446086</v>
      </c>
      <c r="O30" s="21"/>
      <c r="P30" s="7"/>
      <c r="Q30" s="93">
        <v>2406.518</v>
      </c>
      <c r="R30" s="93">
        <v>0</v>
      </c>
      <c r="S30" s="93">
        <v>2406.48</v>
      </c>
      <c r="T30" s="93">
        <v>2406.52</v>
      </c>
      <c r="U30" s="84">
        <v>2406.52</v>
      </c>
      <c r="V30" s="84">
        <v>2240.67</v>
      </c>
      <c r="W30" s="47">
        <f t="shared" si="8"/>
        <v>165.8499999999999</v>
      </c>
      <c r="X30" s="88">
        <v>3216.1</v>
      </c>
      <c r="Y30" s="111"/>
      <c r="Z30" s="88">
        <v>3216.1</v>
      </c>
      <c r="AA30" s="88">
        <v>3216.1</v>
      </c>
    </row>
    <row r="31" spans="1:27" ht="12.75" customHeight="1" hidden="1">
      <c r="A31" s="1"/>
      <c r="B31" s="38" t="s">
        <v>38</v>
      </c>
      <c r="C31" s="33" t="s">
        <v>39</v>
      </c>
      <c r="D31" s="24"/>
      <c r="E31" s="6"/>
      <c r="F31" s="25">
        <f t="shared" si="3"/>
        <v>0</v>
      </c>
      <c r="G31" s="24"/>
      <c r="H31" s="63"/>
      <c r="I31" s="25">
        <f t="shared" si="4"/>
        <v>0</v>
      </c>
      <c r="J31" s="24"/>
      <c r="K31" s="5"/>
      <c r="L31" s="63"/>
      <c r="M31" s="47">
        <f t="shared" si="1"/>
        <v>0</v>
      </c>
      <c r="N31" s="6">
        <f t="shared" si="5"/>
        <v>0</v>
      </c>
      <c r="O31" s="21"/>
      <c r="P31" s="7"/>
      <c r="Q31" s="93"/>
      <c r="R31" s="93"/>
      <c r="S31" s="93"/>
      <c r="T31" s="93"/>
      <c r="U31" s="84"/>
      <c r="V31" s="84"/>
      <c r="W31" s="47">
        <f t="shared" si="8"/>
        <v>0</v>
      </c>
      <c r="X31" s="88"/>
      <c r="Y31" s="109"/>
      <c r="Z31" s="88"/>
      <c r="AA31" s="88"/>
    </row>
    <row r="32" spans="1:27" ht="12.75">
      <c r="A32" s="1">
        <v>8</v>
      </c>
      <c r="B32" s="34" t="s">
        <v>37</v>
      </c>
      <c r="C32" s="33"/>
      <c r="D32" s="26"/>
      <c r="E32" s="31"/>
      <c r="F32" s="25">
        <f t="shared" si="3"/>
        <v>0</v>
      </c>
      <c r="G32" s="26"/>
      <c r="H32" s="60"/>
      <c r="I32" s="25">
        <f t="shared" si="4"/>
        <v>0</v>
      </c>
      <c r="J32" s="27"/>
      <c r="K32" s="5"/>
      <c r="L32" s="62"/>
      <c r="M32" s="47"/>
      <c r="N32" s="6"/>
      <c r="O32" s="21"/>
      <c r="P32" s="7"/>
      <c r="Q32" s="93"/>
      <c r="R32" s="93"/>
      <c r="S32" s="93"/>
      <c r="T32" s="93"/>
      <c r="U32" s="84"/>
      <c r="V32" s="84"/>
      <c r="W32" s="47">
        <f t="shared" si="8"/>
        <v>0</v>
      </c>
      <c r="X32" s="88"/>
      <c r="Y32" s="112"/>
      <c r="Z32" s="88"/>
      <c r="AA32" s="88"/>
    </row>
    <row r="33" spans="1:27" ht="33" customHeight="1">
      <c r="A33" s="1"/>
      <c r="B33" s="36" t="s">
        <v>29</v>
      </c>
      <c r="C33" s="33" t="s">
        <v>35</v>
      </c>
      <c r="D33" s="24">
        <v>163</v>
      </c>
      <c r="E33" s="21">
        <f>E35*1000*E34/(E11+1E-99)</f>
        <v>166.15173414557054</v>
      </c>
      <c r="F33" s="25">
        <f t="shared" si="3"/>
        <v>-3.1517341455705434</v>
      </c>
      <c r="G33" s="24">
        <v>163.3</v>
      </c>
      <c r="H33" s="62">
        <f>H35*1000*H34/(H11+1E-99)</f>
        <v>164.46539202887965</v>
      </c>
      <c r="I33" s="25">
        <f t="shared" si="4"/>
        <v>-1.165392028879637</v>
      </c>
      <c r="J33" s="24">
        <v>163.3</v>
      </c>
      <c r="K33" s="5">
        <v>163.3</v>
      </c>
      <c r="L33" s="63">
        <f>L35/L11*1000*L34</f>
        <v>168.4486899871224</v>
      </c>
      <c r="M33" s="47">
        <f t="shared" si="1"/>
        <v>-5.1486899871223955</v>
      </c>
      <c r="N33" s="6">
        <f t="shared" si="5"/>
        <v>5.1486899871223955</v>
      </c>
      <c r="O33" s="21"/>
      <c r="P33" s="7"/>
      <c r="Q33" s="93">
        <v>163.3</v>
      </c>
      <c r="R33" s="93">
        <v>166.87</v>
      </c>
      <c r="S33" s="93">
        <v>0</v>
      </c>
      <c r="T33" s="93">
        <v>163.3</v>
      </c>
      <c r="U33" s="84">
        <v>163.3</v>
      </c>
      <c r="V33" s="84">
        <f>V35*V34/V11*1000</f>
        <v>154.91765867020186</v>
      </c>
      <c r="W33" s="47">
        <f t="shared" si="8"/>
        <v>8.382341329798152</v>
      </c>
      <c r="X33" s="88">
        <v>163.3</v>
      </c>
      <c r="Y33" s="110">
        <v>166.87</v>
      </c>
      <c r="Z33" s="88"/>
      <c r="AA33" s="89">
        <f>AA35*AA34/AA11*1000</f>
        <v>163.76570290659</v>
      </c>
    </row>
    <row r="34" spans="1:27" ht="26.25" customHeight="1">
      <c r="A34" s="1"/>
      <c r="B34" s="36" t="s">
        <v>55</v>
      </c>
      <c r="C34" s="33"/>
      <c r="D34" s="30">
        <v>1.143</v>
      </c>
      <c r="E34" s="29">
        <v>1.143</v>
      </c>
      <c r="F34" s="25">
        <f t="shared" si="3"/>
        <v>0</v>
      </c>
      <c r="G34" s="30">
        <v>1.143</v>
      </c>
      <c r="H34" s="64">
        <v>1.143</v>
      </c>
      <c r="I34" s="25">
        <f t="shared" si="4"/>
        <v>0</v>
      </c>
      <c r="J34" s="24">
        <v>1.143</v>
      </c>
      <c r="K34" s="5">
        <v>1.143</v>
      </c>
      <c r="L34" s="64">
        <f>8000/7000</f>
        <v>1.1428571428571428</v>
      </c>
      <c r="M34" s="47">
        <f t="shared" si="1"/>
        <v>0.00014285714285722229</v>
      </c>
      <c r="N34" s="6">
        <f t="shared" si="5"/>
        <v>-0.00014285714285722229</v>
      </c>
      <c r="O34" s="21"/>
      <c r="P34" s="7"/>
      <c r="Q34" s="93">
        <v>1.129</v>
      </c>
      <c r="R34" s="93">
        <v>1.129</v>
      </c>
      <c r="S34" s="93">
        <v>0</v>
      </c>
      <c r="T34" s="93">
        <v>1.13</v>
      </c>
      <c r="U34" s="84">
        <v>1.129</v>
      </c>
      <c r="V34" s="84">
        <v>1.129</v>
      </c>
      <c r="W34" s="47">
        <f t="shared" si="8"/>
        <v>0.0009999999999998899</v>
      </c>
      <c r="X34" s="88">
        <v>1.13</v>
      </c>
      <c r="Y34" s="109">
        <v>1.129</v>
      </c>
      <c r="Z34" s="88"/>
      <c r="AA34" s="88">
        <v>1.13</v>
      </c>
    </row>
    <row r="35" spans="1:27" ht="25.5" customHeight="1">
      <c r="A35" s="1"/>
      <c r="B35" s="35" t="s">
        <v>30</v>
      </c>
      <c r="C35" s="33" t="s">
        <v>41</v>
      </c>
      <c r="D35" s="27">
        <f>D33/(D34+1E-100)*D11/1000</f>
        <v>26168.701662292216</v>
      </c>
      <c r="E35" s="6">
        <v>30353</v>
      </c>
      <c r="F35" s="25">
        <f t="shared" si="3"/>
        <v>-4184.2983377077835</v>
      </c>
      <c r="G35" s="27">
        <f>G33/(G34+1E-100)*G11/1000</f>
        <v>26669.19020122485</v>
      </c>
      <c r="H35" s="63">
        <v>30532</v>
      </c>
      <c r="I35" s="25">
        <f t="shared" si="4"/>
        <v>-3862.80979877515</v>
      </c>
      <c r="J35" s="27">
        <f>J33/(J34+1E-100)*J11/1000</f>
        <v>26669.19020122485</v>
      </c>
      <c r="K35" s="22">
        <f>K33/(K34+1E-100)*K11/1000</f>
        <v>25674.117136542714</v>
      </c>
      <c r="L35" s="80">
        <v>30385</v>
      </c>
      <c r="M35" s="47">
        <f t="shared" si="1"/>
        <v>-4710.882863457286</v>
      </c>
      <c r="N35" s="6">
        <f t="shared" si="5"/>
        <v>3715.80979877515</v>
      </c>
      <c r="O35" s="21"/>
      <c r="P35" s="7"/>
      <c r="Q35" s="27">
        <f>Q33/(Q34+1E-100)*Q11/1000</f>
        <v>26999.897608503103</v>
      </c>
      <c r="R35" s="27">
        <v>2723.92</v>
      </c>
      <c r="S35" s="27">
        <v>0</v>
      </c>
      <c r="T35" s="27">
        <f>Q35+R35</f>
        <v>29723.8176085031</v>
      </c>
      <c r="U35" s="22">
        <f>U33/(U34+1E-100)*U11/1000</f>
        <v>25388.121411396278</v>
      </c>
      <c r="V35" s="84">
        <v>28153.3</v>
      </c>
      <c r="W35" s="47">
        <f t="shared" si="8"/>
        <v>1570.5176085031017</v>
      </c>
      <c r="X35" s="22">
        <v>26999.9</v>
      </c>
      <c r="Y35" s="22">
        <v>2723.92</v>
      </c>
      <c r="Z35" s="22"/>
      <c r="AA35" s="22">
        <f>X35+Y35</f>
        <v>29723.82</v>
      </c>
    </row>
    <row r="36" spans="1:27" ht="12.75">
      <c r="A36" s="1"/>
      <c r="B36" s="35" t="s">
        <v>19</v>
      </c>
      <c r="C36" s="33" t="s">
        <v>42</v>
      </c>
      <c r="D36" s="24">
        <v>1342.52</v>
      </c>
      <c r="E36" s="21">
        <f>E78/(E35+1E-102)*1000</f>
        <v>1293.2823773597338</v>
      </c>
      <c r="F36" s="25">
        <f t="shared" si="3"/>
        <v>49.23762264026618</v>
      </c>
      <c r="G36" s="24">
        <v>1489.03</v>
      </c>
      <c r="H36" s="62">
        <f>H78/(H35+1E-102)*1000</f>
        <v>1484.8093803222848</v>
      </c>
      <c r="I36" s="25">
        <f t="shared" si="4"/>
        <v>4.220619677715149</v>
      </c>
      <c r="J36" s="24">
        <v>1871.41</v>
      </c>
      <c r="K36" s="5">
        <v>1871.41</v>
      </c>
      <c r="L36" s="63">
        <f>L78/L35*1000</f>
        <v>1858.2099720256706</v>
      </c>
      <c r="M36" s="47">
        <f t="shared" si="1"/>
        <v>13.200027974329487</v>
      </c>
      <c r="N36" s="6">
        <f t="shared" si="5"/>
        <v>-13.200027974329487</v>
      </c>
      <c r="O36" s="21"/>
      <c r="P36" s="7"/>
      <c r="Q36" s="93">
        <v>2689.33999999</v>
      </c>
      <c r="R36" s="93">
        <v>2749.45</v>
      </c>
      <c r="S36" s="93">
        <v>0</v>
      </c>
      <c r="T36" s="93">
        <f>((Q36*Q35)+(R36*R35))/(Q35+R35)</f>
        <v>2694.8485397537615</v>
      </c>
      <c r="U36" s="84">
        <v>2689.34</v>
      </c>
      <c r="V36" s="84">
        <v>2356.38</v>
      </c>
      <c r="W36" s="47">
        <f t="shared" si="8"/>
        <v>338.46853975376143</v>
      </c>
      <c r="X36" s="88">
        <v>2999.62</v>
      </c>
      <c r="Y36" s="104">
        <v>3064.63</v>
      </c>
      <c r="Z36" s="88"/>
      <c r="AA36" s="89"/>
    </row>
    <row r="37" spans="1:27" ht="12.75">
      <c r="A37" s="1"/>
      <c r="B37" s="38" t="s">
        <v>38</v>
      </c>
      <c r="C37" s="33" t="s">
        <v>42</v>
      </c>
      <c r="D37" s="24"/>
      <c r="E37" s="6"/>
      <c r="F37" s="25">
        <f t="shared" si="3"/>
        <v>0</v>
      </c>
      <c r="G37" s="24"/>
      <c r="H37" s="63"/>
      <c r="I37" s="25">
        <f t="shared" si="4"/>
        <v>0</v>
      </c>
      <c r="J37" s="24">
        <v>217.45</v>
      </c>
      <c r="K37" s="5">
        <v>217.45</v>
      </c>
      <c r="L37" s="63">
        <v>207.2</v>
      </c>
      <c r="M37" s="47">
        <f t="shared" si="1"/>
        <v>10.25</v>
      </c>
      <c r="N37" s="6">
        <f t="shared" si="5"/>
        <v>-10.25</v>
      </c>
      <c r="O37" s="21"/>
      <c r="P37" s="7"/>
      <c r="Q37" s="93">
        <v>260.07</v>
      </c>
      <c r="R37" s="93">
        <v>364.12</v>
      </c>
      <c r="S37" s="93">
        <v>0</v>
      </c>
      <c r="T37" s="93">
        <f>((Q37*Q36)+(R37*R36))/(Q36+R36)</f>
        <v>312.669985015146</v>
      </c>
      <c r="U37" s="84">
        <v>260.07</v>
      </c>
      <c r="V37" s="84">
        <v>287.84</v>
      </c>
      <c r="W37" s="47">
        <f t="shared" si="8"/>
        <v>24.829985015146008</v>
      </c>
      <c r="X37" s="88"/>
      <c r="Y37" s="111"/>
      <c r="Z37" s="88"/>
      <c r="AA37" s="88"/>
    </row>
    <row r="38" spans="1:27" ht="12.75" hidden="1">
      <c r="A38" s="1">
        <v>9</v>
      </c>
      <c r="B38" s="34" t="s">
        <v>43</v>
      </c>
      <c r="C38" s="33"/>
      <c r="D38" s="26"/>
      <c r="E38" s="31"/>
      <c r="F38" s="25">
        <f t="shared" si="3"/>
        <v>0</v>
      </c>
      <c r="G38" s="26"/>
      <c r="H38" s="60"/>
      <c r="I38" s="25">
        <f t="shared" si="4"/>
        <v>0</v>
      </c>
      <c r="J38" s="27"/>
      <c r="K38" s="5"/>
      <c r="L38" s="62"/>
      <c r="M38" s="47">
        <f t="shared" si="1"/>
        <v>0</v>
      </c>
      <c r="N38" s="6"/>
      <c r="O38" s="21"/>
      <c r="P38" s="7"/>
      <c r="Q38" s="93"/>
      <c r="R38" s="93"/>
      <c r="S38" s="93"/>
      <c r="T38" s="93"/>
      <c r="U38" s="84"/>
      <c r="V38" s="103"/>
      <c r="W38" s="47">
        <f t="shared" si="8"/>
        <v>0</v>
      </c>
      <c r="X38" s="88"/>
      <c r="Y38" s="109"/>
      <c r="Z38" s="88"/>
      <c r="AA38" s="88"/>
    </row>
    <row r="39" spans="1:27" ht="26.25" customHeight="1" hidden="1">
      <c r="A39" s="1"/>
      <c r="B39" s="36" t="s">
        <v>29</v>
      </c>
      <c r="C39" s="33" t="s">
        <v>35</v>
      </c>
      <c r="D39" s="24"/>
      <c r="E39" s="21">
        <f>E41*1000*E40/(E12+1E-97)</f>
        <v>0</v>
      </c>
      <c r="F39" s="25">
        <f t="shared" si="3"/>
        <v>0</v>
      </c>
      <c r="G39" s="24"/>
      <c r="H39" s="62">
        <f>H41*1000*H40/(H12+1E-97)</f>
        <v>0</v>
      </c>
      <c r="I39" s="25">
        <f t="shared" si="4"/>
        <v>0</v>
      </c>
      <c r="J39" s="24"/>
      <c r="K39" s="5"/>
      <c r="L39" s="63"/>
      <c r="M39" s="47">
        <f t="shared" si="1"/>
        <v>0</v>
      </c>
      <c r="N39" s="6">
        <f t="shared" si="5"/>
        <v>0</v>
      </c>
      <c r="O39" s="21"/>
      <c r="P39" s="7"/>
      <c r="Q39" s="93"/>
      <c r="R39" s="93"/>
      <c r="S39" s="93"/>
      <c r="T39" s="93"/>
      <c r="U39" s="84"/>
      <c r="V39" s="103"/>
      <c r="W39" s="47">
        <f t="shared" si="8"/>
        <v>0</v>
      </c>
      <c r="X39" s="88"/>
      <c r="Y39" s="109"/>
      <c r="Z39" s="88"/>
      <c r="AA39" s="88"/>
    </row>
    <row r="40" spans="1:27" ht="12.75" hidden="1">
      <c r="A40" s="1"/>
      <c r="B40" s="36" t="s">
        <v>55</v>
      </c>
      <c r="C40" s="33"/>
      <c r="D40" s="30"/>
      <c r="E40" s="29"/>
      <c r="F40" s="25">
        <f t="shared" si="3"/>
        <v>0</v>
      </c>
      <c r="G40" s="30"/>
      <c r="H40" s="64"/>
      <c r="I40" s="25">
        <f t="shared" si="4"/>
        <v>0</v>
      </c>
      <c r="J40" s="24"/>
      <c r="K40" s="5"/>
      <c r="L40" s="63"/>
      <c r="M40" s="47">
        <f t="shared" si="1"/>
        <v>0</v>
      </c>
      <c r="N40" s="6"/>
      <c r="O40" s="21"/>
      <c r="P40" s="7"/>
      <c r="Q40" s="93"/>
      <c r="R40" s="93"/>
      <c r="S40" s="93"/>
      <c r="T40" s="93"/>
      <c r="U40" s="84"/>
      <c r="V40" s="103"/>
      <c r="W40" s="47">
        <f t="shared" si="8"/>
        <v>0</v>
      </c>
      <c r="X40" s="88"/>
      <c r="Y40" s="109"/>
      <c r="Z40" s="88"/>
      <c r="AA40" s="88"/>
    </row>
    <row r="41" spans="1:27" ht="24" customHeight="1" hidden="1">
      <c r="A41" s="1"/>
      <c r="B41" s="35" t="s">
        <v>30</v>
      </c>
      <c r="C41" s="33" t="s">
        <v>40</v>
      </c>
      <c r="D41" s="27">
        <f>D39/(D40+1E-102)*D12/1000</f>
        <v>0</v>
      </c>
      <c r="E41" s="6"/>
      <c r="F41" s="25">
        <f t="shared" si="3"/>
        <v>0</v>
      </c>
      <c r="G41" s="27">
        <f>G39/(G40+1E-102)*G12/1000</f>
        <v>0</v>
      </c>
      <c r="H41" s="63"/>
      <c r="I41" s="25">
        <f t="shared" si="4"/>
        <v>0</v>
      </c>
      <c r="J41" s="27">
        <f>J39/(J40+1E-102)*J12/1000</f>
        <v>0</v>
      </c>
      <c r="K41" s="5"/>
      <c r="L41" s="62"/>
      <c r="M41" s="47">
        <f t="shared" si="1"/>
        <v>0</v>
      </c>
      <c r="N41" s="6">
        <f t="shared" si="5"/>
        <v>0</v>
      </c>
      <c r="O41" s="21"/>
      <c r="P41" s="7"/>
      <c r="Q41" s="93"/>
      <c r="R41" s="93"/>
      <c r="S41" s="93"/>
      <c r="T41" s="93"/>
      <c r="U41" s="84"/>
      <c r="V41" s="103"/>
      <c r="W41" s="47">
        <f t="shared" si="8"/>
        <v>0</v>
      </c>
      <c r="X41" s="88"/>
      <c r="Y41" s="109"/>
      <c r="Z41" s="88"/>
      <c r="AA41" s="88"/>
    </row>
    <row r="42" spans="1:27" ht="12.75" hidden="1">
      <c r="A42" s="1"/>
      <c r="B42" s="35" t="s">
        <v>19</v>
      </c>
      <c r="C42" s="33" t="s">
        <v>39</v>
      </c>
      <c r="D42" s="24"/>
      <c r="E42" s="21">
        <f>E79/(E41+1E-103)*1000</f>
        <v>0</v>
      </c>
      <c r="F42" s="25">
        <f t="shared" si="3"/>
        <v>0</v>
      </c>
      <c r="G42" s="24"/>
      <c r="H42" s="62">
        <f>H79/(H41+1E-103)*1000</f>
        <v>0</v>
      </c>
      <c r="I42" s="25">
        <f t="shared" si="4"/>
        <v>0</v>
      </c>
      <c r="J42" s="24"/>
      <c r="K42" s="5"/>
      <c r="L42" s="63"/>
      <c r="M42" s="47">
        <f t="shared" si="1"/>
        <v>0</v>
      </c>
      <c r="N42" s="6">
        <f t="shared" si="5"/>
        <v>0</v>
      </c>
      <c r="O42" s="21"/>
      <c r="P42" s="7"/>
      <c r="Q42" s="93"/>
      <c r="R42" s="93"/>
      <c r="S42" s="93"/>
      <c r="T42" s="93"/>
      <c r="U42" s="84"/>
      <c r="V42" s="103"/>
      <c r="W42" s="47">
        <f t="shared" si="8"/>
        <v>0</v>
      </c>
      <c r="X42" s="88"/>
      <c r="Y42" s="109"/>
      <c r="Z42" s="88"/>
      <c r="AA42" s="88"/>
    </row>
    <row r="43" spans="1:27" ht="12.75" hidden="1">
      <c r="A43" s="1"/>
      <c r="B43" s="38" t="s">
        <v>38</v>
      </c>
      <c r="C43" s="33" t="s">
        <v>39</v>
      </c>
      <c r="D43" s="24"/>
      <c r="E43" s="6"/>
      <c r="F43" s="25">
        <f t="shared" si="3"/>
        <v>0</v>
      </c>
      <c r="G43" s="24"/>
      <c r="H43" s="63"/>
      <c r="I43" s="25">
        <f t="shared" si="4"/>
        <v>0</v>
      </c>
      <c r="J43" s="24"/>
      <c r="K43" s="5"/>
      <c r="L43" s="63"/>
      <c r="M43" s="47">
        <f t="shared" si="1"/>
        <v>0</v>
      </c>
      <c r="N43" s="6">
        <f t="shared" si="5"/>
        <v>0</v>
      </c>
      <c r="O43" s="21"/>
      <c r="P43" s="7"/>
      <c r="Q43" s="93"/>
      <c r="R43" s="93"/>
      <c r="S43" s="93"/>
      <c r="T43" s="93"/>
      <c r="U43" s="84"/>
      <c r="V43" s="103"/>
      <c r="W43" s="47">
        <f t="shared" si="8"/>
        <v>0</v>
      </c>
      <c r="X43" s="88"/>
      <c r="Y43" s="109"/>
      <c r="Z43" s="88"/>
      <c r="AA43" s="88"/>
    </row>
    <row r="44" spans="1:27" ht="23.25" customHeight="1">
      <c r="A44" s="1">
        <v>10</v>
      </c>
      <c r="B44" s="34" t="s">
        <v>45</v>
      </c>
      <c r="C44" s="33"/>
      <c r="D44" s="26"/>
      <c r="E44" s="31"/>
      <c r="F44" s="25">
        <f t="shared" si="3"/>
        <v>0</v>
      </c>
      <c r="G44" s="26"/>
      <c r="H44" s="60"/>
      <c r="I44" s="25">
        <f t="shared" si="4"/>
        <v>0</v>
      </c>
      <c r="J44" s="27"/>
      <c r="K44" s="5"/>
      <c r="L44" s="62"/>
      <c r="M44" s="47">
        <f t="shared" si="1"/>
        <v>0</v>
      </c>
      <c r="N44" s="6"/>
      <c r="O44" s="21"/>
      <c r="P44" s="7"/>
      <c r="Q44" s="93"/>
      <c r="R44" s="93"/>
      <c r="S44" s="93"/>
      <c r="T44" s="93"/>
      <c r="U44" s="84"/>
      <c r="V44" s="84"/>
      <c r="W44" s="47">
        <f t="shared" si="8"/>
        <v>0</v>
      </c>
      <c r="X44" s="88"/>
      <c r="Y44" s="109"/>
      <c r="Z44" s="88"/>
      <c r="AA44" s="88"/>
    </row>
    <row r="45" spans="1:27" ht="23.25" customHeight="1">
      <c r="A45" s="1"/>
      <c r="B45" s="36" t="s">
        <v>29</v>
      </c>
      <c r="C45" s="33" t="s">
        <v>35</v>
      </c>
      <c r="D45" s="24">
        <v>153</v>
      </c>
      <c r="E45" s="21">
        <f>E47*1000*E46/(E13+1E-99)</f>
        <v>167.55016722408027</v>
      </c>
      <c r="F45" s="25">
        <f t="shared" si="3"/>
        <v>-14.550167224080269</v>
      </c>
      <c r="G45" s="24">
        <v>155</v>
      </c>
      <c r="H45" s="62">
        <f>H47*1000*H46/(H13+1E-99)</f>
        <v>156.86925795053003</v>
      </c>
      <c r="I45" s="25">
        <f t="shared" si="4"/>
        <v>-1.8692579505300273</v>
      </c>
      <c r="J45" s="24">
        <v>155</v>
      </c>
      <c r="K45" s="5">
        <v>155</v>
      </c>
      <c r="L45" s="63">
        <f>L47/L13*L46*1000</f>
        <v>153.19592471672746</v>
      </c>
      <c r="M45" s="47">
        <f t="shared" si="1"/>
        <v>1.8040752832725389</v>
      </c>
      <c r="N45" s="6">
        <f t="shared" si="5"/>
        <v>-1.8040752832725389</v>
      </c>
      <c r="O45" s="21"/>
      <c r="P45" s="7"/>
      <c r="Q45" s="93">
        <v>155</v>
      </c>
      <c r="R45" s="93">
        <v>0</v>
      </c>
      <c r="S45" s="93">
        <v>0</v>
      </c>
      <c r="T45" s="93">
        <v>155</v>
      </c>
      <c r="U45" s="84">
        <v>155</v>
      </c>
      <c r="V45" s="84">
        <f>V47*V46/V13*1000</f>
        <v>158.3676120372375</v>
      </c>
      <c r="W45" s="47">
        <f t="shared" si="8"/>
        <v>-3.3676120372375067</v>
      </c>
      <c r="X45" s="88">
        <v>155</v>
      </c>
      <c r="Y45" s="110"/>
      <c r="Z45" s="88"/>
      <c r="AA45" s="88">
        <v>155</v>
      </c>
    </row>
    <row r="46" spans="1:27" ht="24.75" customHeight="1">
      <c r="A46" s="1"/>
      <c r="B46" s="36" t="s">
        <v>55</v>
      </c>
      <c r="C46" s="33"/>
      <c r="D46" s="30">
        <v>1.45</v>
      </c>
      <c r="E46" s="29">
        <v>1.45</v>
      </c>
      <c r="F46" s="25">
        <f t="shared" si="3"/>
        <v>0</v>
      </c>
      <c r="G46" s="30">
        <v>1.47</v>
      </c>
      <c r="H46" s="64">
        <v>1.47</v>
      </c>
      <c r="I46" s="25">
        <f t="shared" si="4"/>
        <v>0</v>
      </c>
      <c r="J46" s="24">
        <v>1.47</v>
      </c>
      <c r="K46" s="5">
        <v>1.47</v>
      </c>
      <c r="L46" s="63">
        <f>42790*0.239/7000</f>
        <v>1.460972857142857</v>
      </c>
      <c r="M46" s="47">
        <f t="shared" si="1"/>
        <v>0.0090271428571429</v>
      </c>
      <c r="N46" s="6"/>
      <c r="O46" s="21"/>
      <c r="P46" s="7"/>
      <c r="Q46" s="93">
        <v>1.468</v>
      </c>
      <c r="R46" s="93">
        <v>0</v>
      </c>
      <c r="S46" s="93">
        <v>0</v>
      </c>
      <c r="T46" s="93">
        <v>1.47</v>
      </c>
      <c r="U46" s="84">
        <v>1.47</v>
      </c>
      <c r="V46" s="84">
        <v>1.54</v>
      </c>
      <c r="W46" s="47">
        <f t="shared" si="8"/>
        <v>-0.07000000000000006</v>
      </c>
      <c r="X46" s="88">
        <v>1.47</v>
      </c>
      <c r="Y46" s="109"/>
      <c r="Z46" s="88"/>
      <c r="AA46" s="88">
        <v>1.47</v>
      </c>
    </row>
    <row r="47" spans="1:27" ht="23.25" customHeight="1">
      <c r="A47" s="1"/>
      <c r="B47" s="35" t="s">
        <v>30</v>
      </c>
      <c r="C47" s="33" t="s">
        <v>40</v>
      </c>
      <c r="D47" s="27">
        <f>D45/(D46+1E-105)*D13/1000</f>
        <v>38.34496551724138</v>
      </c>
      <c r="E47" s="6">
        <v>69.1</v>
      </c>
      <c r="F47" s="25">
        <f t="shared" si="3"/>
        <v>-30.755034482758617</v>
      </c>
      <c r="G47" s="27">
        <f>G45/(G46+1E-105)*G13/1000</f>
        <v>41.017006802721085</v>
      </c>
      <c r="H47" s="63">
        <v>60.4</v>
      </c>
      <c r="I47" s="25">
        <f t="shared" si="4"/>
        <v>-19.382993197278914</v>
      </c>
      <c r="J47" s="78">
        <f>J45/(J46+1E-105)*J13/1000</f>
        <v>41.017006802721085</v>
      </c>
      <c r="K47" s="79">
        <f>K45/(K46+1E-105)*K13/1000</f>
        <v>39.48659217988049</v>
      </c>
      <c r="L47" s="80">
        <v>54.6</v>
      </c>
      <c r="M47" s="47">
        <f t="shared" si="1"/>
        <v>-15.113407820119512</v>
      </c>
      <c r="N47" s="6">
        <f t="shared" si="5"/>
        <v>13.582993197278917</v>
      </c>
      <c r="O47" s="21"/>
      <c r="P47" s="7"/>
      <c r="Q47" s="27">
        <v>41.098</v>
      </c>
      <c r="R47" s="27">
        <v>0</v>
      </c>
      <c r="S47" s="27">
        <v>0</v>
      </c>
      <c r="T47" s="27">
        <v>41.1</v>
      </c>
      <c r="U47" s="22">
        <f>U45/(U46+1E-105)*U13/1000</f>
        <v>44.3413886731854</v>
      </c>
      <c r="V47" s="84">
        <v>47.5</v>
      </c>
      <c r="W47" s="47">
        <f t="shared" si="8"/>
        <v>-6.399999999999999</v>
      </c>
      <c r="X47" s="22">
        <v>41.1</v>
      </c>
      <c r="Y47" s="111"/>
      <c r="Z47" s="22"/>
      <c r="AA47" s="22">
        <v>41.1</v>
      </c>
    </row>
    <row r="48" spans="1:27" ht="15" customHeight="1">
      <c r="A48" s="1"/>
      <c r="B48" s="35" t="s">
        <v>19</v>
      </c>
      <c r="C48" s="33" t="s">
        <v>39</v>
      </c>
      <c r="D48" s="24">
        <v>12232.6</v>
      </c>
      <c r="E48" s="21">
        <f>E80/(E47+1E-102)*1000</f>
        <v>14934.876989869756</v>
      </c>
      <c r="F48" s="25">
        <f t="shared" si="3"/>
        <v>-2702.276989869755</v>
      </c>
      <c r="G48" s="24">
        <v>5150</v>
      </c>
      <c r="H48" s="62">
        <f>H80/(H47+1E-102)*1000</f>
        <v>17205.298013245036</v>
      </c>
      <c r="I48" s="25">
        <f t="shared" si="4"/>
        <v>-12055.298013245036</v>
      </c>
      <c r="J48" s="24">
        <v>19260</v>
      </c>
      <c r="K48" s="5">
        <v>19260</v>
      </c>
      <c r="L48" s="63">
        <f>L80/L47*1000</f>
        <v>21700.54945054945</v>
      </c>
      <c r="M48" s="47">
        <f t="shared" si="1"/>
        <v>-2440.54945054945</v>
      </c>
      <c r="N48" s="6">
        <f t="shared" si="5"/>
        <v>2440.54945054945</v>
      </c>
      <c r="O48" s="21"/>
      <c r="P48" s="7"/>
      <c r="Q48" s="93">
        <v>21427.96</v>
      </c>
      <c r="R48" s="93">
        <v>0</v>
      </c>
      <c r="S48" s="93">
        <v>0</v>
      </c>
      <c r="T48" s="93">
        <v>21427.96</v>
      </c>
      <c r="U48" s="84">
        <v>21427.96</v>
      </c>
      <c r="V48" s="84">
        <v>21553</v>
      </c>
      <c r="W48" s="47">
        <f t="shared" si="8"/>
        <v>-125.04000000000087</v>
      </c>
      <c r="X48" s="88">
        <v>21572.99</v>
      </c>
      <c r="Y48" s="109"/>
      <c r="Z48" s="88"/>
      <c r="AA48" s="88">
        <v>21572.99</v>
      </c>
    </row>
    <row r="49" spans="1:27" ht="23.25" customHeight="1">
      <c r="A49" s="1"/>
      <c r="B49" s="38" t="s">
        <v>38</v>
      </c>
      <c r="C49" s="33" t="s">
        <v>39</v>
      </c>
      <c r="D49" s="24"/>
      <c r="E49" s="6"/>
      <c r="F49" s="25">
        <f t="shared" si="3"/>
        <v>0</v>
      </c>
      <c r="G49" s="24"/>
      <c r="H49" s="63"/>
      <c r="I49" s="25">
        <f t="shared" si="4"/>
        <v>0</v>
      </c>
      <c r="J49" s="24"/>
      <c r="K49" s="5"/>
      <c r="L49" s="63"/>
      <c r="M49" s="47">
        <f t="shared" si="1"/>
        <v>0</v>
      </c>
      <c r="N49" s="6">
        <f t="shared" si="5"/>
        <v>0</v>
      </c>
      <c r="O49" s="21"/>
      <c r="P49" s="7"/>
      <c r="Q49" s="93"/>
      <c r="R49" s="93">
        <v>0</v>
      </c>
      <c r="S49" s="93">
        <v>0</v>
      </c>
      <c r="T49" s="93"/>
      <c r="U49" s="84"/>
      <c r="V49" s="84"/>
      <c r="W49" s="47">
        <f t="shared" si="8"/>
        <v>0</v>
      </c>
      <c r="X49" s="88"/>
      <c r="Y49" s="111"/>
      <c r="Z49" s="88"/>
      <c r="AA49" s="88"/>
    </row>
    <row r="50" spans="1:27" ht="12.75" hidden="1">
      <c r="A50" s="1">
        <v>11</v>
      </c>
      <c r="B50" s="34" t="s">
        <v>44</v>
      </c>
      <c r="C50" s="33"/>
      <c r="D50" s="26"/>
      <c r="E50" s="31"/>
      <c r="F50" s="25">
        <f t="shared" si="3"/>
        <v>0</v>
      </c>
      <c r="G50" s="26"/>
      <c r="H50" s="60"/>
      <c r="I50" s="25">
        <f t="shared" si="4"/>
        <v>0</v>
      </c>
      <c r="J50" s="27"/>
      <c r="K50" s="5"/>
      <c r="L50" s="62"/>
      <c r="M50" s="47">
        <f t="shared" si="1"/>
        <v>0</v>
      </c>
      <c r="N50" s="6"/>
      <c r="O50" s="21"/>
      <c r="P50" s="7"/>
      <c r="Q50" s="93"/>
      <c r="R50" s="93"/>
      <c r="S50" s="93"/>
      <c r="T50" s="93"/>
      <c r="U50" s="84"/>
      <c r="V50" s="84"/>
      <c r="W50" s="47">
        <f t="shared" si="8"/>
        <v>0</v>
      </c>
      <c r="X50" s="88"/>
      <c r="Y50" s="109"/>
      <c r="Z50" s="88"/>
      <c r="AA50" s="88"/>
    </row>
    <row r="51" spans="1:27" ht="23.25" customHeight="1" hidden="1">
      <c r="A51" s="1"/>
      <c r="B51" s="36" t="s">
        <v>29</v>
      </c>
      <c r="C51" s="33" t="s">
        <v>35</v>
      </c>
      <c r="D51" s="24"/>
      <c r="E51" s="21">
        <f>E53*1000*E52/(E14+1E-97)</f>
        <v>0</v>
      </c>
      <c r="F51" s="25">
        <f t="shared" si="3"/>
        <v>0</v>
      </c>
      <c r="G51" s="24"/>
      <c r="H51" s="62">
        <f>H53*1000*H52/(H14+1E-97)</f>
        <v>0</v>
      </c>
      <c r="I51" s="25">
        <f t="shared" si="4"/>
        <v>0</v>
      </c>
      <c r="J51" s="24"/>
      <c r="K51" s="5">
        <f>J51/(G51+1E-133)*100-100</f>
        <v>-100</v>
      </c>
      <c r="L51" s="63"/>
      <c r="M51" s="47">
        <f t="shared" si="1"/>
        <v>-100</v>
      </c>
      <c r="N51" s="6">
        <f t="shared" si="5"/>
        <v>0</v>
      </c>
      <c r="O51" s="21"/>
      <c r="P51" s="7"/>
      <c r="Q51" s="93"/>
      <c r="R51" s="93"/>
      <c r="S51" s="93"/>
      <c r="T51" s="93"/>
      <c r="U51" s="84"/>
      <c r="V51" s="84"/>
      <c r="W51" s="47">
        <f t="shared" si="8"/>
        <v>0</v>
      </c>
      <c r="X51" s="88"/>
      <c r="Y51" s="109"/>
      <c r="Z51" s="88"/>
      <c r="AA51" s="88"/>
    </row>
    <row r="52" spans="1:27" ht="12.75" hidden="1">
      <c r="A52" s="1"/>
      <c r="B52" s="36" t="s">
        <v>55</v>
      </c>
      <c r="C52" s="33"/>
      <c r="D52" s="30"/>
      <c r="E52" s="29"/>
      <c r="F52" s="25">
        <f t="shared" si="3"/>
        <v>0</v>
      </c>
      <c r="G52" s="30"/>
      <c r="H52" s="64"/>
      <c r="I52" s="25">
        <f t="shared" si="4"/>
        <v>0</v>
      </c>
      <c r="J52" s="24"/>
      <c r="K52" s="5"/>
      <c r="L52" s="63"/>
      <c r="M52" s="47">
        <f t="shared" si="1"/>
        <v>0</v>
      </c>
      <c r="N52" s="6"/>
      <c r="O52" s="21"/>
      <c r="P52" s="7"/>
      <c r="Q52" s="93"/>
      <c r="R52" s="93"/>
      <c r="S52" s="93"/>
      <c r="T52" s="93"/>
      <c r="U52" s="84"/>
      <c r="V52" s="84"/>
      <c r="W52" s="47">
        <f t="shared" si="8"/>
        <v>0</v>
      </c>
      <c r="X52" s="88"/>
      <c r="Y52" s="109"/>
      <c r="Z52" s="88"/>
      <c r="AA52" s="88"/>
    </row>
    <row r="53" spans="1:27" ht="25.5" hidden="1">
      <c r="A53" s="1"/>
      <c r="B53" s="35" t="s">
        <v>30</v>
      </c>
      <c r="C53" s="33" t="s">
        <v>40</v>
      </c>
      <c r="D53" s="27">
        <f>D51/(D52+1E-101)*D14/1000</f>
        <v>0</v>
      </c>
      <c r="E53" s="6"/>
      <c r="F53" s="25">
        <f t="shared" si="3"/>
        <v>0</v>
      </c>
      <c r="G53" s="27">
        <f>G51/(G52+1E-101)*G14/1000</f>
        <v>0</v>
      </c>
      <c r="H53" s="63"/>
      <c r="I53" s="25">
        <f t="shared" si="4"/>
        <v>0</v>
      </c>
      <c r="J53" s="27">
        <f>J51/(J52+1E-101)*J14/1000</f>
        <v>0</v>
      </c>
      <c r="K53" s="5">
        <f>J53/(G53+1E-133)*100-100</f>
        <v>-100</v>
      </c>
      <c r="L53" s="62">
        <f>L51/(L52+1E-101)*L14/1000</f>
        <v>0</v>
      </c>
      <c r="M53" s="47">
        <f t="shared" si="1"/>
        <v>-100</v>
      </c>
      <c r="N53" s="6">
        <f t="shared" si="5"/>
        <v>0</v>
      </c>
      <c r="O53" s="21"/>
      <c r="P53" s="7"/>
      <c r="Q53" s="93"/>
      <c r="R53" s="93"/>
      <c r="S53" s="93"/>
      <c r="T53" s="93"/>
      <c r="U53" s="84"/>
      <c r="V53" s="84"/>
      <c r="W53" s="47">
        <f t="shared" si="8"/>
        <v>0</v>
      </c>
      <c r="X53" s="88"/>
      <c r="Y53" s="109"/>
      <c r="Z53" s="88"/>
      <c r="AA53" s="88"/>
    </row>
    <row r="54" spans="1:27" ht="12.75" hidden="1">
      <c r="A54" s="1"/>
      <c r="B54" s="35" t="s">
        <v>19</v>
      </c>
      <c r="C54" s="33" t="s">
        <v>39</v>
      </c>
      <c r="D54" s="24"/>
      <c r="E54" s="21">
        <f>E81/(E53+1E-102)*1000</f>
        <v>0</v>
      </c>
      <c r="F54" s="25">
        <f t="shared" si="3"/>
        <v>0</v>
      </c>
      <c r="G54" s="24"/>
      <c r="H54" s="62">
        <f>H81/(H53+1E-102)*1000</f>
        <v>0</v>
      </c>
      <c r="I54" s="25">
        <f t="shared" si="4"/>
        <v>0</v>
      </c>
      <c r="J54" s="24"/>
      <c r="K54" s="5">
        <f>J54/(G54+1E-133)*100-100</f>
        <v>-100</v>
      </c>
      <c r="L54" s="63"/>
      <c r="M54" s="47">
        <f t="shared" si="1"/>
        <v>-100</v>
      </c>
      <c r="N54" s="6">
        <f t="shared" si="5"/>
        <v>0</v>
      </c>
      <c r="O54" s="21"/>
      <c r="P54" s="7"/>
      <c r="Q54" s="93"/>
      <c r="R54" s="93"/>
      <c r="S54" s="93"/>
      <c r="T54" s="93"/>
      <c r="U54" s="84"/>
      <c r="V54" s="84"/>
      <c r="W54" s="47">
        <f t="shared" si="8"/>
        <v>0</v>
      </c>
      <c r="X54" s="88"/>
      <c r="Y54" s="109"/>
      <c r="Z54" s="88"/>
      <c r="AA54" s="88"/>
    </row>
    <row r="55" spans="1:27" ht="12.75" hidden="1">
      <c r="A55" s="1"/>
      <c r="B55" s="38" t="s">
        <v>38</v>
      </c>
      <c r="C55" s="33" t="s">
        <v>39</v>
      </c>
      <c r="D55" s="24"/>
      <c r="E55" s="6"/>
      <c r="F55" s="25">
        <f t="shared" si="3"/>
        <v>0</v>
      </c>
      <c r="G55" s="24"/>
      <c r="H55" s="63"/>
      <c r="I55" s="25">
        <f t="shared" si="4"/>
        <v>0</v>
      </c>
      <c r="J55" s="24"/>
      <c r="K55" s="5">
        <f>J55/(G55+1E-133)*100-100</f>
        <v>-100</v>
      </c>
      <c r="L55" s="63"/>
      <c r="M55" s="47">
        <f t="shared" si="1"/>
        <v>-100</v>
      </c>
      <c r="N55" s="6">
        <f t="shared" si="5"/>
        <v>0</v>
      </c>
      <c r="O55" s="21"/>
      <c r="P55" s="7"/>
      <c r="Q55" s="93"/>
      <c r="R55" s="93"/>
      <c r="S55" s="93"/>
      <c r="T55" s="93"/>
      <c r="U55" s="84"/>
      <c r="V55" s="84"/>
      <c r="W55" s="47">
        <f t="shared" si="8"/>
        <v>0</v>
      </c>
      <c r="X55" s="88"/>
      <c r="Y55" s="109"/>
      <c r="Z55" s="88"/>
      <c r="AA55" s="88"/>
    </row>
    <row r="56" spans="1:27" ht="12.75" hidden="1">
      <c r="A56" s="1">
        <v>12</v>
      </c>
      <c r="B56" s="34" t="s">
        <v>46</v>
      </c>
      <c r="C56" s="33"/>
      <c r="D56" s="26"/>
      <c r="E56" s="31"/>
      <c r="F56" s="25">
        <f t="shared" si="3"/>
        <v>0</v>
      </c>
      <c r="G56" s="26"/>
      <c r="H56" s="60"/>
      <c r="I56" s="25">
        <f t="shared" si="4"/>
        <v>0</v>
      </c>
      <c r="J56" s="27"/>
      <c r="K56" s="5"/>
      <c r="L56" s="62"/>
      <c r="M56" s="47">
        <f t="shared" si="1"/>
        <v>0</v>
      </c>
      <c r="N56" s="6"/>
      <c r="O56" s="21"/>
      <c r="P56" s="7"/>
      <c r="Q56" s="93"/>
      <c r="R56" s="93"/>
      <c r="S56" s="93"/>
      <c r="T56" s="93"/>
      <c r="U56" s="84"/>
      <c r="V56" s="84"/>
      <c r="W56" s="47">
        <f t="shared" si="8"/>
        <v>0</v>
      </c>
      <c r="X56" s="88"/>
      <c r="Y56" s="109"/>
      <c r="Z56" s="88"/>
      <c r="AA56" s="88"/>
    </row>
    <row r="57" spans="1:27" ht="22.5" customHeight="1" hidden="1">
      <c r="A57" s="1"/>
      <c r="B57" s="36" t="s">
        <v>29</v>
      </c>
      <c r="C57" s="33" t="s">
        <v>35</v>
      </c>
      <c r="D57" s="24"/>
      <c r="E57" s="21">
        <f>E59*1000*E58/(E15+1E-96)</f>
        <v>0</v>
      </c>
      <c r="F57" s="25">
        <f t="shared" si="3"/>
        <v>0</v>
      </c>
      <c r="G57" s="24"/>
      <c r="H57" s="62">
        <f>H59*1000*H58/(H15+1E-96)</f>
        <v>0</v>
      </c>
      <c r="I57" s="25">
        <f t="shared" si="4"/>
        <v>0</v>
      </c>
      <c r="J57" s="24"/>
      <c r="K57" s="5">
        <f>J57/(G57+1E-133)*100-100</f>
        <v>-100</v>
      </c>
      <c r="L57" s="63"/>
      <c r="M57" s="47">
        <f t="shared" si="1"/>
        <v>-100</v>
      </c>
      <c r="N57" s="6">
        <f t="shared" si="5"/>
        <v>0</v>
      </c>
      <c r="O57" s="21"/>
      <c r="P57" s="7"/>
      <c r="Q57" s="93"/>
      <c r="R57" s="93"/>
      <c r="S57" s="93"/>
      <c r="T57" s="93"/>
      <c r="U57" s="84"/>
      <c r="V57" s="84"/>
      <c r="W57" s="47">
        <f t="shared" si="8"/>
        <v>0</v>
      </c>
      <c r="X57" s="88"/>
      <c r="Y57" s="109"/>
      <c r="Z57" s="88"/>
      <c r="AA57" s="88"/>
    </row>
    <row r="58" spans="1:27" ht="12.75" hidden="1">
      <c r="A58" s="1"/>
      <c r="B58" s="36" t="s">
        <v>55</v>
      </c>
      <c r="C58" s="33"/>
      <c r="D58" s="30"/>
      <c r="E58" s="29"/>
      <c r="F58" s="25">
        <f t="shared" si="3"/>
        <v>0</v>
      </c>
      <c r="G58" s="30"/>
      <c r="H58" s="64"/>
      <c r="I58" s="25">
        <f t="shared" si="4"/>
        <v>0</v>
      </c>
      <c r="J58" s="24"/>
      <c r="K58" s="5"/>
      <c r="L58" s="63"/>
      <c r="M58" s="47">
        <f t="shared" si="1"/>
        <v>0</v>
      </c>
      <c r="N58" s="6"/>
      <c r="O58" s="21"/>
      <c r="P58" s="7"/>
      <c r="Q58" s="93"/>
      <c r="R58" s="93"/>
      <c r="S58" s="93"/>
      <c r="T58" s="93"/>
      <c r="U58" s="84"/>
      <c r="V58" s="84"/>
      <c r="W58" s="47">
        <f t="shared" si="8"/>
        <v>0</v>
      </c>
      <c r="X58" s="88"/>
      <c r="Y58" s="109"/>
      <c r="Z58" s="88"/>
      <c r="AA58" s="88"/>
    </row>
    <row r="59" spans="1:27" ht="25.5" hidden="1">
      <c r="A59" s="1"/>
      <c r="B59" s="35" t="s">
        <v>30</v>
      </c>
      <c r="C59" s="33" t="s">
        <v>40</v>
      </c>
      <c r="D59" s="27">
        <f>D57/(D58+1E-101)*D15/1000</f>
        <v>0</v>
      </c>
      <c r="E59" s="6"/>
      <c r="F59" s="25">
        <f t="shared" si="3"/>
        <v>0</v>
      </c>
      <c r="G59" s="27">
        <f>G57/(G58+1E-101)*G15/1000</f>
        <v>0</v>
      </c>
      <c r="H59" s="63"/>
      <c r="I59" s="25">
        <f t="shared" si="4"/>
        <v>0</v>
      </c>
      <c r="J59" s="27">
        <f>J57/(J58+1E-101)*J15/1000</f>
        <v>0</v>
      </c>
      <c r="K59" s="5">
        <f>J59/(G59+1E-133)*100-100</f>
        <v>-100</v>
      </c>
      <c r="L59" s="62">
        <f>L57/(L58+1E-101)*L15/1000</f>
        <v>0</v>
      </c>
      <c r="M59" s="47">
        <f t="shared" si="1"/>
        <v>-100</v>
      </c>
      <c r="N59" s="6">
        <f t="shared" si="5"/>
        <v>0</v>
      </c>
      <c r="O59" s="21"/>
      <c r="P59" s="7"/>
      <c r="Q59" s="93"/>
      <c r="R59" s="93"/>
      <c r="S59" s="93"/>
      <c r="T59" s="93"/>
      <c r="U59" s="84"/>
      <c r="V59" s="84"/>
      <c r="W59" s="47">
        <f t="shared" si="8"/>
        <v>0</v>
      </c>
      <c r="X59" s="88"/>
      <c r="Y59" s="109"/>
      <c r="Z59" s="88"/>
      <c r="AA59" s="88"/>
    </row>
    <row r="60" spans="1:27" ht="12.75" hidden="1">
      <c r="A60" s="1"/>
      <c r="B60" s="35" t="s">
        <v>19</v>
      </c>
      <c r="C60" s="33" t="s">
        <v>39</v>
      </c>
      <c r="D60" s="24"/>
      <c r="E60" s="21">
        <f>E82/(E59+1E-102)*1000</f>
        <v>0</v>
      </c>
      <c r="F60" s="25">
        <f t="shared" si="3"/>
        <v>0</v>
      </c>
      <c r="G60" s="24"/>
      <c r="H60" s="62">
        <f>H82/(H59+1E-102)*1000</f>
        <v>0</v>
      </c>
      <c r="I60" s="25">
        <f t="shared" si="4"/>
        <v>0</v>
      </c>
      <c r="J60" s="24"/>
      <c r="K60" s="5">
        <f>J60/(G60+1E-133)*100-100</f>
        <v>-100</v>
      </c>
      <c r="L60" s="63"/>
      <c r="M60" s="47">
        <f t="shared" si="1"/>
        <v>-100</v>
      </c>
      <c r="N60" s="6">
        <f t="shared" si="5"/>
        <v>0</v>
      </c>
      <c r="O60" s="21"/>
      <c r="P60" s="7"/>
      <c r="Q60" s="93"/>
      <c r="R60" s="93"/>
      <c r="S60" s="93"/>
      <c r="T60" s="93"/>
      <c r="U60" s="84"/>
      <c r="V60" s="84"/>
      <c r="W60" s="47">
        <f t="shared" si="8"/>
        <v>0</v>
      </c>
      <c r="X60" s="88"/>
      <c r="Y60" s="109"/>
      <c r="Z60" s="88"/>
      <c r="AA60" s="88"/>
    </row>
    <row r="61" spans="1:27" ht="12.75" hidden="1">
      <c r="A61" s="1"/>
      <c r="B61" s="38" t="s">
        <v>38</v>
      </c>
      <c r="C61" s="33" t="s">
        <v>39</v>
      </c>
      <c r="D61" s="24"/>
      <c r="E61" s="6"/>
      <c r="F61" s="25">
        <f t="shared" si="3"/>
        <v>0</v>
      </c>
      <c r="G61" s="24"/>
      <c r="H61" s="63"/>
      <c r="I61" s="25">
        <f t="shared" si="4"/>
        <v>0</v>
      </c>
      <c r="J61" s="24"/>
      <c r="K61" s="5">
        <f>J61/(G61+1E-133)*100-100</f>
        <v>-100</v>
      </c>
      <c r="L61" s="63"/>
      <c r="M61" s="47">
        <f t="shared" si="1"/>
        <v>-100</v>
      </c>
      <c r="N61" s="6">
        <f t="shared" si="5"/>
        <v>0</v>
      </c>
      <c r="O61" s="21"/>
      <c r="P61" s="7"/>
      <c r="Q61" s="93"/>
      <c r="R61" s="93"/>
      <c r="S61" s="93"/>
      <c r="T61" s="93"/>
      <c r="U61" s="84"/>
      <c r="V61" s="84"/>
      <c r="W61" s="47">
        <f t="shared" si="8"/>
        <v>0</v>
      </c>
      <c r="X61" s="88"/>
      <c r="Y61" s="109"/>
      <c r="Z61" s="88"/>
      <c r="AA61" s="88"/>
    </row>
    <row r="62" spans="1:27" ht="0.75" customHeight="1">
      <c r="A62" s="1"/>
      <c r="B62" s="34" t="s">
        <v>47</v>
      </c>
      <c r="C62" s="33"/>
      <c r="D62" s="26"/>
      <c r="E62" s="31"/>
      <c r="F62" s="25">
        <f t="shared" si="3"/>
        <v>0</v>
      </c>
      <c r="G62" s="26"/>
      <c r="H62" s="60"/>
      <c r="I62" s="25">
        <f t="shared" si="4"/>
        <v>0</v>
      </c>
      <c r="J62" s="27"/>
      <c r="K62" s="5"/>
      <c r="L62" s="62"/>
      <c r="M62" s="47">
        <f t="shared" si="1"/>
        <v>0</v>
      </c>
      <c r="N62" s="6"/>
      <c r="O62" s="21"/>
      <c r="P62" s="7"/>
      <c r="Q62" s="93"/>
      <c r="R62" s="93">
        <v>0</v>
      </c>
      <c r="S62" s="93"/>
      <c r="T62" s="93"/>
      <c r="U62" s="84"/>
      <c r="V62" s="84"/>
      <c r="W62" s="47">
        <f t="shared" si="8"/>
        <v>0</v>
      </c>
      <c r="X62" s="88"/>
      <c r="Y62" s="109"/>
      <c r="Z62" s="88"/>
      <c r="AA62" s="88"/>
    </row>
    <row r="63" spans="1:27" ht="25.5" customHeight="1" hidden="1">
      <c r="A63" s="1"/>
      <c r="B63" s="36" t="s">
        <v>29</v>
      </c>
      <c r="C63" s="33" t="s">
        <v>35</v>
      </c>
      <c r="D63" s="24"/>
      <c r="E63" s="21">
        <f>E65*1000*E64/(E16+1E-98)</f>
        <v>0</v>
      </c>
      <c r="F63" s="25">
        <f t="shared" si="3"/>
        <v>0</v>
      </c>
      <c r="G63" s="24"/>
      <c r="H63" s="62">
        <f>H65*1000*H64/(H16+1E-98)</f>
        <v>0</v>
      </c>
      <c r="I63" s="25">
        <f t="shared" si="4"/>
        <v>0</v>
      </c>
      <c r="J63" s="24"/>
      <c r="K63" s="5">
        <f>J63/(G63+1E-133)*100-100</f>
        <v>-100</v>
      </c>
      <c r="L63" s="63"/>
      <c r="M63" s="47">
        <f t="shared" si="1"/>
        <v>-100</v>
      </c>
      <c r="N63" s="6">
        <f t="shared" si="5"/>
        <v>0</v>
      </c>
      <c r="O63" s="21"/>
      <c r="P63" s="7"/>
      <c r="Q63" s="93"/>
      <c r="R63" s="93"/>
      <c r="S63" s="93"/>
      <c r="T63" s="93"/>
      <c r="U63" s="84"/>
      <c r="V63" s="84"/>
      <c r="W63" s="47">
        <f t="shared" si="8"/>
        <v>0</v>
      </c>
      <c r="X63" s="88"/>
      <c r="Y63" s="109"/>
      <c r="Z63" s="88"/>
      <c r="AA63" s="88"/>
    </row>
    <row r="64" spans="1:27" ht="12.75" hidden="1">
      <c r="A64" s="1"/>
      <c r="B64" s="36" t="s">
        <v>55</v>
      </c>
      <c r="C64" s="33"/>
      <c r="D64" s="30"/>
      <c r="E64" s="29"/>
      <c r="F64" s="25">
        <f t="shared" si="3"/>
        <v>0</v>
      </c>
      <c r="G64" s="30"/>
      <c r="H64" s="64"/>
      <c r="I64" s="25">
        <f t="shared" si="4"/>
        <v>0</v>
      </c>
      <c r="J64" s="24"/>
      <c r="K64" s="5"/>
      <c r="L64" s="63"/>
      <c r="M64" s="47">
        <f t="shared" si="1"/>
        <v>0</v>
      </c>
      <c r="N64" s="6"/>
      <c r="O64" s="21"/>
      <c r="P64" s="7"/>
      <c r="Q64" s="93"/>
      <c r="R64" s="93"/>
      <c r="S64" s="93"/>
      <c r="T64" s="93"/>
      <c r="U64" s="84"/>
      <c r="V64" s="84"/>
      <c r="W64" s="47">
        <f t="shared" si="8"/>
        <v>0</v>
      </c>
      <c r="X64" s="88"/>
      <c r="Y64" s="109"/>
      <c r="Z64" s="88"/>
      <c r="AA64" s="88"/>
    </row>
    <row r="65" spans="1:27" ht="25.5" hidden="1">
      <c r="A65" s="1"/>
      <c r="B65" s="35" t="s">
        <v>30</v>
      </c>
      <c r="C65" s="33" t="s">
        <v>40</v>
      </c>
      <c r="D65" s="27">
        <f>D63/(D64+1E-97)*D16/1000</f>
        <v>0</v>
      </c>
      <c r="E65" s="6"/>
      <c r="F65" s="25">
        <f t="shared" si="3"/>
        <v>0</v>
      </c>
      <c r="G65" s="27">
        <f>G63/(G64+1E-97)*G16/1000</f>
        <v>0</v>
      </c>
      <c r="H65" s="63"/>
      <c r="I65" s="25">
        <f t="shared" si="4"/>
        <v>0</v>
      </c>
      <c r="J65" s="27">
        <f>J63/(J64+1E-97)*J16/1000</f>
        <v>0</v>
      </c>
      <c r="K65" s="5">
        <f>J65/(G65+1E-133)*100-100</f>
        <v>-100</v>
      </c>
      <c r="L65" s="62">
        <f>L63/(L64+1E-97)*L16/1000</f>
        <v>0</v>
      </c>
      <c r="M65" s="47">
        <f t="shared" si="1"/>
        <v>-100</v>
      </c>
      <c r="N65" s="6">
        <f t="shared" si="5"/>
        <v>0</v>
      </c>
      <c r="O65" s="21"/>
      <c r="P65" s="7"/>
      <c r="Q65" s="93"/>
      <c r="R65" s="93"/>
      <c r="S65" s="93"/>
      <c r="T65" s="93"/>
      <c r="U65" s="84"/>
      <c r="V65" s="84"/>
      <c r="W65" s="47">
        <f t="shared" si="8"/>
        <v>0</v>
      </c>
      <c r="X65" s="88"/>
      <c r="Y65" s="109"/>
      <c r="Z65" s="88"/>
      <c r="AA65" s="88"/>
    </row>
    <row r="66" spans="1:27" ht="12.75" hidden="1">
      <c r="A66" s="1"/>
      <c r="B66" s="35" t="s">
        <v>19</v>
      </c>
      <c r="C66" s="33" t="s">
        <v>39</v>
      </c>
      <c r="D66" s="24"/>
      <c r="E66" s="21">
        <f>E83/(E65+1E-102)*1000</f>
        <v>0</v>
      </c>
      <c r="F66" s="25">
        <f t="shared" si="3"/>
        <v>0</v>
      </c>
      <c r="G66" s="24"/>
      <c r="H66" s="62">
        <f>H83/(H65+1E-102)*1000</f>
        <v>0</v>
      </c>
      <c r="I66" s="25">
        <f t="shared" si="4"/>
        <v>0</v>
      </c>
      <c r="J66" s="24"/>
      <c r="K66" s="5">
        <f>J66/(G66+1E-133)*100-100</f>
        <v>-100</v>
      </c>
      <c r="L66" s="63"/>
      <c r="M66" s="47">
        <f t="shared" si="1"/>
        <v>-100</v>
      </c>
      <c r="N66" s="6">
        <f t="shared" si="5"/>
        <v>0</v>
      </c>
      <c r="O66" s="21"/>
      <c r="P66" s="7"/>
      <c r="Q66" s="93"/>
      <c r="R66" s="93"/>
      <c r="S66" s="93"/>
      <c r="T66" s="93"/>
      <c r="U66" s="84"/>
      <c r="V66" s="84"/>
      <c r="W66" s="47">
        <f t="shared" si="8"/>
        <v>0</v>
      </c>
      <c r="X66" s="88"/>
      <c r="Y66" s="109"/>
      <c r="Z66" s="88"/>
      <c r="AA66" s="88"/>
    </row>
    <row r="67" spans="1:27" ht="16.5" customHeight="1">
      <c r="A67" s="1"/>
      <c r="B67" s="38" t="s">
        <v>38</v>
      </c>
      <c r="C67" s="33" t="s">
        <v>39</v>
      </c>
      <c r="D67" s="24"/>
      <c r="E67" s="6"/>
      <c r="F67" s="25">
        <f t="shared" si="3"/>
        <v>0</v>
      </c>
      <c r="G67" s="24"/>
      <c r="H67" s="63"/>
      <c r="I67" s="25">
        <f t="shared" si="4"/>
        <v>0</v>
      </c>
      <c r="J67" s="24"/>
      <c r="K67" s="5">
        <f>J67/(G67+1E-133)*100-100</f>
        <v>-100</v>
      </c>
      <c r="L67" s="63"/>
      <c r="M67" s="47">
        <f t="shared" si="1"/>
        <v>-100</v>
      </c>
      <c r="N67" s="6">
        <f t="shared" si="5"/>
        <v>0</v>
      </c>
      <c r="O67" s="21"/>
      <c r="P67" s="7"/>
      <c r="Q67" s="93"/>
      <c r="R67" s="93"/>
      <c r="S67" s="93"/>
      <c r="T67" s="93"/>
      <c r="U67" s="84"/>
      <c r="V67" s="84"/>
      <c r="W67" s="47">
        <f t="shared" si="8"/>
        <v>0</v>
      </c>
      <c r="X67" s="88"/>
      <c r="Y67" s="109"/>
      <c r="Z67" s="88"/>
      <c r="AA67" s="88"/>
    </row>
    <row r="68" spans="1:27" ht="10.5" customHeight="1">
      <c r="A68" s="1"/>
      <c r="B68" s="38"/>
      <c r="C68" s="33"/>
      <c r="D68" s="24"/>
      <c r="E68" s="6"/>
      <c r="F68" s="25">
        <f t="shared" si="3"/>
        <v>0</v>
      </c>
      <c r="G68" s="24"/>
      <c r="H68" s="63"/>
      <c r="I68" s="25">
        <f t="shared" si="4"/>
        <v>0</v>
      </c>
      <c r="J68" s="24"/>
      <c r="K68" s="5"/>
      <c r="L68" s="63"/>
      <c r="M68" s="47">
        <f t="shared" si="1"/>
        <v>0</v>
      </c>
      <c r="N68" s="6"/>
      <c r="O68" s="21"/>
      <c r="P68" s="7"/>
      <c r="Q68" s="93"/>
      <c r="R68" s="93"/>
      <c r="S68" s="93"/>
      <c r="T68" s="93"/>
      <c r="U68" s="84"/>
      <c r="V68" s="84"/>
      <c r="W68" s="47">
        <f t="shared" si="8"/>
        <v>0</v>
      </c>
      <c r="X68" s="88"/>
      <c r="Y68" s="109"/>
      <c r="Z68" s="88"/>
      <c r="AA68" s="88"/>
    </row>
    <row r="69" spans="1:27" ht="22.5" customHeight="1">
      <c r="A69" s="1">
        <v>14</v>
      </c>
      <c r="B69" s="34" t="s">
        <v>15</v>
      </c>
      <c r="C69" s="33" t="s">
        <v>18</v>
      </c>
      <c r="D69" s="24">
        <v>32</v>
      </c>
      <c r="E69" s="21">
        <f>E70*1000/(E9+1E-103)</f>
        <v>33.11276524422444</v>
      </c>
      <c r="F69" s="25">
        <f t="shared" si="3"/>
        <v>-1.1127652442244411</v>
      </c>
      <c r="G69" s="24">
        <v>25.27</v>
      </c>
      <c r="H69" s="62">
        <f>H70*1000/(H9+1E-103)</f>
        <v>31.388470015079456</v>
      </c>
      <c r="I69" s="25">
        <f t="shared" si="4"/>
        <v>-6.118470015079456</v>
      </c>
      <c r="J69" s="24">
        <v>33</v>
      </c>
      <c r="K69" s="5">
        <v>33</v>
      </c>
      <c r="L69" s="63">
        <v>30.22</v>
      </c>
      <c r="M69" s="47">
        <f t="shared" si="1"/>
        <v>2.780000000000001</v>
      </c>
      <c r="N69" s="6">
        <f t="shared" si="5"/>
        <v>-2.780000000000001</v>
      </c>
      <c r="O69" s="21"/>
      <c r="P69" s="7"/>
      <c r="Q69" s="93">
        <v>33</v>
      </c>
      <c r="R69" s="93">
        <v>15.86</v>
      </c>
      <c r="S69" s="93">
        <v>32.99</v>
      </c>
      <c r="T69" s="93">
        <f>((S69*S9)+(R9*R69)+(Q69*Q9))/(Q9+R9+S9)</f>
        <v>31.518148984624336</v>
      </c>
      <c r="U69" s="84">
        <v>33</v>
      </c>
      <c r="V69" s="84">
        <f>V70/V9*1000</f>
        <v>31.041047377885427</v>
      </c>
      <c r="W69" s="47">
        <f t="shared" si="8"/>
        <v>0.4771016067389091</v>
      </c>
      <c r="X69" s="88">
        <v>33</v>
      </c>
      <c r="Y69" s="111">
        <v>15.86</v>
      </c>
      <c r="Z69" s="88">
        <v>32.98</v>
      </c>
      <c r="AA69" s="89">
        <f>AA70/AA9*1000</f>
        <v>31.47386025643896</v>
      </c>
    </row>
    <row r="70" spans="1:27" ht="12.75" customHeight="1">
      <c r="A70" s="1">
        <v>15</v>
      </c>
      <c r="B70" s="35" t="s">
        <v>16</v>
      </c>
      <c r="C70" s="33" t="s">
        <v>26</v>
      </c>
      <c r="D70" s="27">
        <f>D69*D9/1000</f>
        <v>6107.68</v>
      </c>
      <c r="E70" s="6">
        <v>7211</v>
      </c>
      <c r="F70" s="25">
        <f t="shared" si="3"/>
        <v>-1103.3199999999997</v>
      </c>
      <c r="G70" s="27">
        <f>G69*G9/1000</f>
        <v>4911.982599999999</v>
      </c>
      <c r="H70" s="63">
        <v>7035.6</v>
      </c>
      <c r="I70" s="25">
        <f t="shared" si="4"/>
        <v>-2123.617400000001</v>
      </c>
      <c r="J70" s="27">
        <f>J69*J9/1000</f>
        <v>6414.54</v>
      </c>
      <c r="K70" s="22">
        <f>K69*K9/1000</f>
        <v>6175.20255</v>
      </c>
      <c r="L70" s="62">
        <v>6795.8</v>
      </c>
      <c r="M70" s="47">
        <f t="shared" si="1"/>
        <v>-620.5974500000002</v>
      </c>
      <c r="N70" s="6">
        <f t="shared" si="5"/>
        <v>381.2600000000002</v>
      </c>
      <c r="O70" s="21"/>
      <c r="P70" s="7"/>
      <c r="Q70" s="27">
        <f>Q69*Q9/1000</f>
        <v>6407.646299999999</v>
      </c>
      <c r="R70" s="27">
        <v>292.29</v>
      </c>
      <c r="S70" s="27">
        <v>18.77</v>
      </c>
      <c r="T70" s="27">
        <f>Q70+R70+S70</f>
        <v>6718.7063</v>
      </c>
      <c r="U70" s="22">
        <f>U69*U9/1000</f>
        <v>6033.6627336216</v>
      </c>
      <c r="V70" s="84">
        <v>6766.7</v>
      </c>
      <c r="W70" s="47">
        <f t="shared" si="8"/>
        <v>-47.99369999999999</v>
      </c>
      <c r="X70" s="22">
        <v>6407.65</v>
      </c>
      <c r="Y70" s="22">
        <v>292.29</v>
      </c>
      <c r="Z70" s="22">
        <v>18.88</v>
      </c>
      <c r="AA70" s="22">
        <f>X70+Y70+Z70</f>
        <v>6718.82</v>
      </c>
    </row>
    <row r="71" spans="1:27" ht="12.75" customHeight="1">
      <c r="A71" s="1">
        <v>16</v>
      </c>
      <c r="B71" s="35" t="s">
        <v>22</v>
      </c>
      <c r="C71" s="33" t="s">
        <v>27</v>
      </c>
      <c r="D71" s="24">
        <v>1.455</v>
      </c>
      <c r="E71" s="39">
        <f>E84/(E70+1E-107)</f>
        <v>1.1838857301345167</v>
      </c>
      <c r="F71" s="25">
        <f t="shared" si="3"/>
        <v>0.27111426986548337</v>
      </c>
      <c r="G71" s="40">
        <v>1.9944</v>
      </c>
      <c r="H71" s="67">
        <f>H84/(H70+1E-107)</f>
        <v>1.3225595542668713</v>
      </c>
      <c r="I71" s="25">
        <f t="shared" si="4"/>
        <v>0.6718404457331286</v>
      </c>
      <c r="J71" s="24">
        <v>1.54</v>
      </c>
      <c r="K71" s="5">
        <v>1.54</v>
      </c>
      <c r="L71" s="63">
        <v>1.53</v>
      </c>
      <c r="M71" s="47">
        <f t="shared" si="1"/>
        <v>0.010000000000000009</v>
      </c>
      <c r="N71" s="6">
        <f>L71-J71</f>
        <v>-0.010000000000000009</v>
      </c>
      <c r="O71" s="21"/>
      <c r="P71" s="7"/>
      <c r="Q71" s="93">
        <v>3.51773</v>
      </c>
      <c r="R71" s="93">
        <v>3</v>
      </c>
      <c r="S71" s="93">
        <v>3.438</v>
      </c>
      <c r="T71" s="93">
        <f>((S71*S11)+(R11*R71)+(Q71*Q11))/(Q11+R11+S11)</f>
        <v>3.4712084749205476</v>
      </c>
      <c r="U71" s="84">
        <v>3.52</v>
      </c>
      <c r="V71" s="84">
        <v>2.66</v>
      </c>
      <c r="W71" s="47">
        <f t="shared" si="8"/>
        <v>0.8112084749205475</v>
      </c>
      <c r="X71" s="88">
        <v>3.81</v>
      </c>
      <c r="Y71" s="111">
        <v>3.81</v>
      </c>
      <c r="Z71" s="88">
        <v>4.04</v>
      </c>
      <c r="AA71" s="89"/>
    </row>
    <row r="72" spans="1:27" ht="22.5" customHeight="1">
      <c r="A72" s="1">
        <v>17</v>
      </c>
      <c r="B72" s="34" t="s">
        <v>32</v>
      </c>
      <c r="C72" s="33" t="s">
        <v>33</v>
      </c>
      <c r="D72" s="24">
        <v>1.4</v>
      </c>
      <c r="E72" s="21">
        <f>E73*1000/(E9+1E-104)</f>
        <v>1.4161665235499676</v>
      </c>
      <c r="F72" s="25">
        <f t="shared" si="3"/>
        <v>-0.016166523549967726</v>
      </c>
      <c r="G72" s="24">
        <v>0.8</v>
      </c>
      <c r="H72" s="62">
        <f>H73*1000/(H9+1E-104)</f>
        <v>1.3807964451741275</v>
      </c>
      <c r="I72" s="25">
        <f t="shared" si="4"/>
        <v>-0.5807964451741274</v>
      </c>
      <c r="J72" s="24">
        <v>0.8</v>
      </c>
      <c r="K72" s="5">
        <v>0.8</v>
      </c>
      <c r="L72" s="63">
        <v>2.08</v>
      </c>
      <c r="M72" s="47">
        <f t="shared" si="1"/>
        <v>-1.28</v>
      </c>
      <c r="N72" s="6">
        <f t="shared" si="5"/>
        <v>1.28</v>
      </c>
      <c r="O72" s="21"/>
      <c r="P72" s="7"/>
      <c r="Q72" s="93">
        <v>0.8</v>
      </c>
      <c r="R72" s="93">
        <v>0.44</v>
      </c>
      <c r="S72" s="93">
        <v>0.8</v>
      </c>
      <c r="T72" s="93">
        <f>((S72*S9)+(R9*R72)+(Q72*Q9))/(Q9+R9+S9)</f>
        <v>0.7688765018690771</v>
      </c>
      <c r="U72" s="84">
        <v>0.8</v>
      </c>
      <c r="V72" s="84">
        <f>V73/V9*1000</f>
        <v>1.48812800469742</v>
      </c>
      <c r="W72" s="47">
        <f t="shared" si="8"/>
        <v>-0.7192515028283428</v>
      </c>
      <c r="X72" s="88">
        <v>0.8</v>
      </c>
      <c r="Y72" s="104">
        <v>0</v>
      </c>
      <c r="Z72" s="88">
        <v>0.8</v>
      </c>
      <c r="AA72" s="88">
        <v>0.8</v>
      </c>
    </row>
    <row r="73" spans="1:27" ht="15" customHeight="1">
      <c r="A73" s="1">
        <v>18</v>
      </c>
      <c r="B73" s="35" t="s">
        <v>17</v>
      </c>
      <c r="C73" s="33" t="s">
        <v>25</v>
      </c>
      <c r="D73" s="27">
        <f>D72*D9/1000</f>
        <v>267.211</v>
      </c>
      <c r="E73" s="6">
        <v>308.4</v>
      </c>
      <c r="F73" s="25">
        <f t="shared" si="3"/>
        <v>-41.188999999999965</v>
      </c>
      <c r="G73" s="27">
        <f>G72*G9/1000</f>
        <v>155.504</v>
      </c>
      <c r="H73" s="63">
        <v>309.5</v>
      </c>
      <c r="I73" s="25">
        <f t="shared" si="4"/>
        <v>-153.996</v>
      </c>
      <c r="J73" s="27">
        <f>J72*J9/1000</f>
        <v>155.504</v>
      </c>
      <c r="K73" s="22">
        <f>K72*K9/1000</f>
        <v>149.70188000000002</v>
      </c>
      <c r="L73" s="80">
        <v>467.2</v>
      </c>
      <c r="M73" s="47">
        <f t="shared" si="1"/>
        <v>-317.49812</v>
      </c>
      <c r="N73" s="6">
        <f t="shared" si="5"/>
        <v>311.696</v>
      </c>
      <c r="O73" s="21"/>
      <c r="P73" s="7"/>
      <c r="Q73" s="27">
        <f>Q72*Q9/1000</f>
        <v>155.33688</v>
      </c>
      <c r="R73" s="27">
        <v>8.11</v>
      </c>
      <c r="S73" s="27">
        <v>0.46</v>
      </c>
      <c r="T73" s="27">
        <f>Q73+R73+S73</f>
        <v>163.90688000000003</v>
      </c>
      <c r="U73" s="22">
        <f>U72*U9/1000</f>
        <v>146.27061172416</v>
      </c>
      <c r="V73" s="84">
        <v>324.4</v>
      </c>
      <c r="W73" s="47">
        <f t="shared" si="8"/>
        <v>-160.49311999999995</v>
      </c>
      <c r="X73" s="22">
        <v>155.34</v>
      </c>
      <c r="Y73" s="22">
        <v>0</v>
      </c>
      <c r="Z73" s="22">
        <v>0.46</v>
      </c>
      <c r="AA73" s="22"/>
    </row>
    <row r="74" spans="1:27" ht="15" customHeight="1">
      <c r="A74" s="1">
        <v>19</v>
      </c>
      <c r="B74" s="35" t="s">
        <v>23</v>
      </c>
      <c r="C74" s="33" t="s">
        <v>28</v>
      </c>
      <c r="D74" s="24">
        <v>4.834</v>
      </c>
      <c r="E74" s="21" t="e">
        <f>#REF!/(E73+1E-108)</f>
        <v>#REF!</v>
      </c>
      <c r="F74" s="25" t="e">
        <f t="shared" si="3"/>
        <v>#REF!</v>
      </c>
      <c r="G74" s="24">
        <v>9.9</v>
      </c>
      <c r="H74" s="62" t="e">
        <f>#REF!/(H73+1E-108)</f>
        <v>#REF!</v>
      </c>
      <c r="I74" s="25" t="e">
        <f t="shared" si="4"/>
        <v>#REF!</v>
      </c>
      <c r="J74" s="24">
        <v>5.25</v>
      </c>
      <c r="K74" s="5">
        <v>5.25</v>
      </c>
      <c r="L74" s="63" t="e">
        <f>#REF!/L73</f>
        <v>#REF!</v>
      </c>
      <c r="M74" s="47" t="e">
        <f aca="true" t="shared" si="9" ref="M74:M84">K74-L74</f>
        <v>#REF!</v>
      </c>
      <c r="N74" s="6" t="e">
        <f t="shared" si="5"/>
        <v>#REF!</v>
      </c>
      <c r="O74" s="21"/>
      <c r="P74" s="7"/>
      <c r="Q74" s="93">
        <v>13.131</v>
      </c>
      <c r="R74" s="93">
        <v>1.58</v>
      </c>
      <c r="S74" s="93">
        <v>13.13</v>
      </c>
      <c r="T74" s="93">
        <f>((S74*S11)+(R11*R74)+(Q74*Q11))/(Q11+R11+S11)</f>
        <v>12.093064906046093</v>
      </c>
      <c r="U74" s="84">
        <v>13.13</v>
      </c>
      <c r="V74" s="84">
        <f>V85/V73</f>
        <v>8.82799013563502</v>
      </c>
      <c r="W74" s="47">
        <f t="shared" si="8"/>
        <v>3.265074770411074</v>
      </c>
      <c r="X74" s="88">
        <v>15.1</v>
      </c>
      <c r="Y74" s="109"/>
      <c r="Z74" s="88">
        <v>15.1</v>
      </c>
      <c r="AA74" s="88">
        <v>15.1</v>
      </c>
    </row>
    <row r="75" spans="1:27" ht="12.75" customHeight="1">
      <c r="A75" s="56"/>
      <c r="B75" s="55" t="s">
        <v>34</v>
      </c>
      <c r="C75" s="33"/>
      <c r="D75" s="24"/>
      <c r="E75" s="6"/>
      <c r="F75" s="25">
        <f aca="true" t="shared" si="10" ref="F75:F84">D75-E75</f>
        <v>0</v>
      </c>
      <c r="G75" s="24"/>
      <c r="H75" s="63"/>
      <c r="I75" s="25">
        <f aca="true" t="shared" si="11" ref="I75:I84">G75-H75</f>
        <v>0</v>
      </c>
      <c r="J75" s="24"/>
      <c r="K75" s="5"/>
      <c r="L75" s="63"/>
      <c r="M75" s="47">
        <f t="shared" si="9"/>
        <v>0</v>
      </c>
      <c r="N75" s="6"/>
      <c r="O75" s="21"/>
      <c r="P75" s="7"/>
      <c r="Q75" s="93"/>
      <c r="R75" s="93"/>
      <c r="S75" s="93"/>
      <c r="T75" s="93"/>
      <c r="U75" s="84"/>
      <c r="V75" s="84"/>
      <c r="W75" s="47">
        <f t="shared" si="8"/>
        <v>0</v>
      </c>
      <c r="X75" s="88"/>
      <c r="Y75" s="111"/>
      <c r="Z75" s="88"/>
      <c r="AA75" s="88"/>
    </row>
    <row r="76" spans="1:27" ht="12.75">
      <c r="A76" s="42">
        <v>20</v>
      </c>
      <c r="B76" s="34" t="s">
        <v>56</v>
      </c>
      <c r="C76" s="43" t="s">
        <v>8</v>
      </c>
      <c r="D76" s="45">
        <f>SUMIF(D77:D83,"&gt;0")</f>
        <v>39887.26755157015</v>
      </c>
      <c r="E76" s="44">
        <f>E77+E78+E79+E80+E81+E82+E83</f>
        <v>47195</v>
      </c>
      <c r="F76" s="25">
        <f t="shared" si="10"/>
        <v>-7307.7324484298515</v>
      </c>
      <c r="G76" s="45">
        <f>SUMIF(G77:G83,"&gt;0")</f>
        <v>45306.69762036385</v>
      </c>
      <c r="H76" s="65">
        <f>H77+H78+H79+H80+H81+H82+H83</f>
        <v>53273.59999999999</v>
      </c>
      <c r="I76" s="25">
        <f t="shared" si="11"/>
        <v>-7966.902379636143</v>
      </c>
      <c r="J76" s="45">
        <f>SUMIF(J77:J83,"&gt;0")</f>
        <v>56352.332785494604</v>
      </c>
      <c r="K76" s="69">
        <f>SUMIF(K77:K83,"&gt;0")</f>
        <v>54279.7309418033</v>
      </c>
      <c r="L76" s="65">
        <f>SUMIF(L77:L83,"&gt;0")</f>
        <v>69688.43000000001</v>
      </c>
      <c r="M76" s="47">
        <f t="shared" si="9"/>
        <v>-15408.699058196711</v>
      </c>
      <c r="N76" s="47">
        <f>L76-J76</f>
        <v>13336.097214505404</v>
      </c>
      <c r="O76" s="21" t="e">
        <f>L76/(#REF!+1E-103)*100</f>
        <v>#REF!</v>
      </c>
      <c r="P76" s="7"/>
      <c r="Q76" s="45">
        <f>Q77+Q78+Q80</f>
        <v>79877.86463418174</v>
      </c>
      <c r="R76" s="45">
        <v>7489.3</v>
      </c>
      <c r="S76" s="45">
        <v>510.6</v>
      </c>
      <c r="T76" s="45">
        <f>Q76+R76+S76</f>
        <v>87877.76463418175</v>
      </c>
      <c r="U76" s="69">
        <f>U77+U78+U80</f>
        <v>75414.25304316447</v>
      </c>
      <c r="V76" s="69">
        <f>V77+V78+V80</f>
        <v>95066.6</v>
      </c>
      <c r="W76" s="47">
        <f t="shared" si="8"/>
        <v>-7188.8353658182605</v>
      </c>
      <c r="X76" s="69">
        <v>90127.68</v>
      </c>
      <c r="Y76" s="22">
        <v>8347.81</v>
      </c>
      <c r="Z76" s="69">
        <v>532.89</v>
      </c>
      <c r="AA76" s="69">
        <f>X76+Y76+Z76</f>
        <v>99008.37999999999</v>
      </c>
    </row>
    <row r="77" spans="1:27" ht="13.5" customHeight="1">
      <c r="A77" s="1" t="s">
        <v>31</v>
      </c>
      <c r="B77" s="35" t="s">
        <v>57</v>
      </c>
      <c r="C77" s="33" t="s">
        <v>8</v>
      </c>
      <c r="D77" s="27">
        <f>D29*D30/1000</f>
        <v>4286.2035707234045</v>
      </c>
      <c r="E77" s="5">
        <v>6908</v>
      </c>
      <c r="F77" s="25">
        <f t="shared" si="10"/>
        <v>-2621.7964292765955</v>
      </c>
      <c r="G77" s="27">
        <f>G29*G30/1000</f>
        <v>5384.23575</v>
      </c>
      <c r="H77" s="63">
        <v>6900.2</v>
      </c>
      <c r="I77" s="25">
        <f t="shared" si="11"/>
        <v>-1515.96425</v>
      </c>
      <c r="J77" s="27">
        <f>J29*J30/1000</f>
        <v>5653.356</v>
      </c>
      <c r="K77" s="22">
        <f>K29*K30/1000</f>
        <v>5442.419625921391</v>
      </c>
      <c r="L77" s="62">
        <v>12041.87</v>
      </c>
      <c r="M77" s="47">
        <f t="shared" si="9"/>
        <v>-6599.4503740786095</v>
      </c>
      <c r="N77" s="6">
        <f aca="true" t="shared" si="12" ref="N77:N83">L77-J77</f>
        <v>6388.514000000001</v>
      </c>
      <c r="O77" s="21"/>
      <c r="P77" s="7"/>
      <c r="Q77" s="27">
        <v>6385.25</v>
      </c>
      <c r="R77" s="27">
        <v>0</v>
      </c>
      <c r="S77" s="27">
        <v>510.6</v>
      </c>
      <c r="T77" s="45">
        <f>Q77+R77+S77</f>
        <v>6895.85</v>
      </c>
      <c r="U77" s="22">
        <f>U29*U30/1000</f>
        <v>6186.817103806537</v>
      </c>
      <c r="V77" s="84">
        <v>12241.8</v>
      </c>
      <c r="W77" s="47">
        <f t="shared" si="8"/>
        <v>-5345.949999999999</v>
      </c>
      <c r="X77" s="22">
        <v>8251.56</v>
      </c>
      <c r="Y77" s="111">
        <v>0</v>
      </c>
      <c r="Z77" s="22">
        <v>532.89</v>
      </c>
      <c r="AA77" s="69">
        <f aca="true" t="shared" si="13" ref="AA77:AA105">X77+Y77+Z77</f>
        <v>8784.449999999999</v>
      </c>
    </row>
    <row r="78" spans="1:27" ht="14.25" customHeight="1">
      <c r="A78" s="1" t="s">
        <v>31</v>
      </c>
      <c r="B78" s="35" t="s">
        <v>58</v>
      </c>
      <c r="C78" s="33" t="s">
        <v>8</v>
      </c>
      <c r="D78" s="27">
        <f>D35*D36/1000</f>
        <v>35132.00535566054</v>
      </c>
      <c r="E78" s="5">
        <v>39255</v>
      </c>
      <c r="F78" s="25">
        <f t="shared" si="10"/>
        <v>-4122.994644339458</v>
      </c>
      <c r="G78" s="27">
        <f>G35*G36/1000</f>
        <v>39711.22428532984</v>
      </c>
      <c r="H78" s="63">
        <v>45334.2</v>
      </c>
      <c r="I78" s="25">
        <f t="shared" si="11"/>
        <v>-5622.9757146701595</v>
      </c>
      <c r="J78" s="27">
        <f>J35*J36/1000</f>
        <v>49908.9892344742</v>
      </c>
      <c r="K78" s="22">
        <f>K35*K36/1000</f>
        <v>48046.7995504974</v>
      </c>
      <c r="L78" s="80">
        <v>56461.71</v>
      </c>
      <c r="M78" s="47">
        <f t="shared" si="9"/>
        <v>-8414.910449502597</v>
      </c>
      <c r="N78" s="6">
        <f t="shared" si="12"/>
        <v>6552.720765525803</v>
      </c>
      <c r="O78" s="21"/>
      <c r="P78" s="7"/>
      <c r="Q78" s="27">
        <f>Q35*Q36/1000</f>
        <v>72611.90463418173</v>
      </c>
      <c r="R78" s="27">
        <v>7489.3</v>
      </c>
      <c r="S78" s="27">
        <v>0</v>
      </c>
      <c r="T78" s="45">
        <f>Q78+R78+S78</f>
        <v>80101.20463418173</v>
      </c>
      <c r="U78" s="22">
        <f>U35*U36/1000</f>
        <v>68277.29043652446</v>
      </c>
      <c r="V78" s="84">
        <v>81860.8</v>
      </c>
      <c r="W78" s="47">
        <f t="shared" si="8"/>
        <v>-1759.5953658182698</v>
      </c>
      <c r="X78" s="22">
        <v>80989.45</v>
      </c>
      <c r="Y78" s="22">
        <v>8347.81</v>
      </c>
      <c r="Z78" s="22">
        <v>0</v>
      </c>
      <c r="AA78" s="69">
        <f t="shared" si="13"/>
        <v>89337.26</v>
      </c>
    </row>
    <row r="79" spans="1:27" ht="11.25" customHeight="1" hidden="1">
      <c r="A79" s="1" t="s">
        <v>31</v>
      </c>
      <c r="B79" s="35" t="s">
        <v>59</v>
      </c>
      <c r="C79" s="33" t="s">
        <v>8</v>
      </c>
      <c r="D79" s="27">
        <f>D41*D42/1000</f>
        <v>0</v>
      </c>
      <c r="E79" s="5"/>
      <c r="F79" s="25">
        <f t="shared" si="10"/>
        <v>0</v>
      </c>
      <c r="G79" s="27">
        <f>G41*G42/1000</f>
        <v>0</v>
      </c>
      <c r="H79" s="63"/>
      <c r="I79" s="25">
        <f t="shared" si="11"/>
        <v>0</v>
      </c>
      <c r="J79" s="27">
        <f>J41*J42/1000</f>
        <v>0</v>
      </c>
      <c r="K79" s="22">
        <f>K41*K42/1000</f>
        <v>0</v>
      </c>
      <c r="L79" s="80"/>
      <c r="M79" s="47">
        <f t="shared" si="9"/>
        <v>0</v>
      </c>
      <c r="N79" s="6">
        <f t="shared" si="12"/>
        <v>0</v>
      </c>
      <c r="O79" s="21"/>
      <c r="P79" s="7"/>
      <c r="Q79" s="27">
        <f>Q31*Q32/1000</f>
        <v>0</v>
      </c>
      <c r="R79" s="27"/>
      <c r="S79" s="27"/>
      <c r="T79" s="45">
        <f>Q79+R79+S79</f>
        <v>0</v>
      </c>
      <c r="U79" s="22"/>
      <c r="V79" s="84"/>
      <c r="W79" s="47">
        <f t="shared" si="8"/>
        <v>0</v>
      </c>
      <c r="X79" s="97"/>
      <c r="Y79" s="109"/>
      <c r="Z79" s="97"/>
      <c r="AA79" s="69">
        <f t="shared" si="13"/>
        <v>0</v>
      </c>
    </row>
    <row r="80" spans="1:27" ht="16.5" customHeight="1">
      <c r="A80" s="1" t="s">
        <v>31</v>
      </c>
      <c r="B80" s="35" t="s">
        <v>60</v>
      </c>
      <c r="C80" s="33" t="s">
        <v>8</v>
      </c>
      <c r="D80" s="27">
        <f>D47*D48/1000</f>
        <v>469.0586251862069</v>
      </c>
      <c r="E80" s="5">
        <v>1032</v>
      </c>
      <c r="F80" s="25">
        <f t="shared" si="10"/>
        <v>-562.9413748137931</v>
      </c>
      <c r="G80" s="27">
        <f>G47*G48/1000</f>
        <v>211.2375850340136</v>
      </c>
      <c r="H80" s="63">
        <v>1039.2</v>
      </c>
      <c r="I80" s="25">
        <f t="shared" si="11"/>
        <v>-827.9624149659865</v>
      </c>
      <c r="J80" s="27">
        <f>J47*J48/1000</f>
        <v>789.9875510204081</v>
      </c>
      <c r="K80" s="22">
        <f>K47*K48/1000</f>
        <v>760.5117653844982</v>
      </c>
      <c r="L80" s="80">
        <v>1184.85</v>
      </c>
      <c r="M80" s="47">
        <f t="shared" si="9"/>
        <v>-424.33823461550173</v>
      </c>
      <c r="N80" s="6">
        <f t="shared" si="12"/>
        <v>394.8624489795918</v>
      </c>
      <c r="O80" s="21"/>
      <c r="P80" s="7"/>
      <c r="Q80" s="27">
        <v>880.71</v>
      </c>
      <c r="R80" s="27">
        <v>0</v>
      </c>
      <c r="S80" s="27">
        <v>0</v>
      </c>
      <c r="T80" s="45">
        <f>Q80+R80+S80</f>
        <v>880.71</v>
      </c>
      <c r="U80" s="22">
        <f>U47*U48/1000</f>
        <v>950.1455028334698</v>
      </c>
      <c r="V80" s="84">
        <v>964</v>
      </c>
      <c r="W80" s="47">
        <f t="shared" si="8"/>
        <v>-83.28999999999996</v>
      </c>
      <c r="X80" s="22">
        <v>886.67</v>
      </c>
      <c r="Y80" s="111">
        <v>0</v>
      </c>
      <c r="Z80" s="22">
        <v>0</v>
      </c>
      <c r="AA80" s="69">
        <f t="shared" si="13"/>
        <v>886.67</v>
      </c>
    </row>
    <row r="81" spans="1:27" ht="1.5" customHeight="1" hidden="1">
      <c r="A81" s="1" t="s">
        <v>31</v>
      </c>
      <c r="B81" s="35" t="s">
        <v>61</v>
      </c>
      <c r="C81" s="33" t="s">
        <v>8</v>
      </c>
      <c r="D81" s="27">
        <f>D53*D54/1000</f>
        <v>0</v>
      </c>
      <c r="E81" s="5"/>
      <c r="F81" s="25">
        <f t="shared" si="10"/>
        <v>0</v>
      </c>
      <c r="G81" s="27">
        <f>G53*G54/1000</f>
        <v>0</v>
      </c>
      <c r="H81" s="63"/>
      <c r="I81" s="25">
        <f t="shared" si="11"/>
        <v>0</v>
      </c>
      <c r="J81" s="27">
        <f>J53*J54/1000</f>
        <v>0</v>
      </c>
      <c r="K81" s="22">
        <f>K53*K54/1000</f>
        <v>10</v>
      </c>
      <c r="L81" s="80"/>
      <c r="M81" s="47">
        <f t="shared" si="9"/>
        <v>10</v>
      </c>
      <c r="N81" s="6">
        <f t="shared" si="12"/>
        <v>0</v>
      </c>
      <c r="O81" s="21"/>
      <c r="P81" s="7"/>
      <c r="Q81" s="27">
        <f>Q33*Q34/1000</f>
        <v>0.1843657</v>
      </c>
      <c r="R81" s="27"/>
      <c r="S81" s="27"/>
      <c r="T81" s="27"/>
      <c r="U81" s="22">
        <f>U33*U34/1000</f>
        <v>0.1843657</v>
      </c>
      <c r="V81" s="103"/>
      <c r="W81" s="47">
        <f t="shared" si="8"/>
        <v>0</v>
      </c>
      <c r="X81" s="97"/>
      <c r="Y81" s="109"/>
      <c r="Z81" s="97"/>
      <c r="AA81" s="69">
        <f t="shared" si="13"/>
        <v>0</v>
      </c>
    </row>
    <row r="82" spans="1:27" ht="11.25" customHeight="1" hidden="1">
      <c r="A82" s="1" t="s">
        <v>31</v>
      </c>
      <c r="B82" s="35" t="s">
        <v>62</v>
      </c>
      <c r="C82" s="33" t="s">
        <v>8</v>
      </c>
      <c r="D82" s="27">
        <f>D59*D60/1000</f>
        <v>0</v>
      </c>
      <c r="E82" s="5"/>
      <c r="F82" s="25">
        <f t="shared" si="10"/>
        <v>0</v>
      </c>
      <c r="G82" s="27">
        <f>G59*G60/1000</f>
        <v>0</v>
      </c>
      <c r="H82" s="63"/>
      <c r="I82" s="25">
        <f t="shared" si="11"/>
        <v>0</v>
      </c>
      <c r="J82" s="27">
        <f>J59*J60/1000</f>
        <v>0</v>
      </c>
      <c r="K82" s="22">
        <f>K59*K60/1000</f>
        <v>10</v>
      </c>
      <c r="L82" s="80"/>
      <c r="M82" s="47">
        <f t="shared" si="9"/>
        <v>10</v>
      </c>
      <c r="N82" s="6">
        <f t="shared" si="12"/>
        <v>0</v>
      </c>
      <c r="O82" s="21"/>
      <c r="P82" s="7"/>
      <c r="Q82" s="27">
        <f>Q34*Q35/1000</f>
        <v>30.482884400000003</v>
      </c>
      <c r="R82" s="27"/>
      <c r="S82" s="27"/>
      <c r="T82" s="27"/>
      <c r="U82" s="22">
        <f>U34*U35/1000</f>
        <v>28.6631890734664</v>
      </c>
      <c r="V82" s="103"/>
      <c r="W82" s="47">
        <f t="shared" si="8"/>
        <v>0</v>
      </c>
      <c r="X82" s="97"/>
      <c r="Y82" s="109"/>
      <c r="Z82" s="97"/>
      <c r="AA82" s="69">
        <f t="shared" si="13"/>
        <v>0</v>
      </c>
    </row>
    <row r="83" spans="1:27" ht="11.25" customHeight="1" hidden="1">
      <c r="A83" s="1" t="s">
        <v>31</v>
      </c>
      <c r="B83" s="35" t="s">
        <v>63</v>
      </c>
      <c r="C83" s="33" t="s">
        <v>8</v>
      </c>
      <c r="D83" s="27">
        <f>D65*D66/1000</f>
        <v>0</v>
      </c>
      <c r="E83" s="5"/>
      <c r="F83" s="25">
        <f t="shared" si="10"/>
        <v>0</v>
      </c>
      <c r="G83" s="27">
        <f>G65*G66/1000</f>
        <v>0</v>
      </c>
      <c r="H83" s="63"/>
      <c r="I83" s="25">
        <f t="shared" si="11"/>
        <v>0</v>
      </c>
      <c r="J83" s="27">
        <f>J65*J66/1000</f>
        <v>0</v>
      </c>
      <c r="K83" s="22">
        <f>K65*K66/1000</f>
        <v>10</v>
      </c>
      <c r="L83" s="80"/>
      <c r="M83" s="47">
        <f t="shared" si="9"/>
        <v>10</v>
      </c>
      <c r="N83" s="6">
        <f t="shared" si="12"/>
        <v>0</v>
      </c>
      <c r="O83" s="21"/>
      <c r="P83" s="7"/>
      <c r="Q83" s="27">
        <f>Q35*Q36/1000</f>
        <v>72611.90463418173</v>
      </c>
      <c r="R83" s="27"/>
      <c r="S83" s="27"/>
      <c r="T83" s="27"/>
      <c r="U83" s="22">
        <f>U35*U36/1000</f>
        <v>68277.29043652446</v>
      </c>
      <c r="V83" s="103"/>
      <c r="W83" s="47">
        <f t="shared" si="8"/>
        <v>0</v>
      </c>
      <c r="X83" s="97"/>
      <c r="Y83" s="109"/>
      <c r="Z83" s="97"/>
      <c r="AA83" s="69">
        <f t="shared" si="13"/>
        <v>0</v>
      </c>
    </row>
    <row r="84" spans="1:27" ht="16.5" customHeight="1">
      <c r="A84" s="1">
        <v>21</v>
      </c>
      <c r="B84" s="35" t="s">
        <v>9</v>
      </c>
      <c r="C84" s="33" t="s">
        <v>8</v>
      </c>
      <c r="D84" s="27">
        <f>D71*D70</f>
        <v>8886.674400000002</v>
      </c>
      <c r="E84" s="5">
        <v>8537</v>
      </c>
      <c r="F84" s="25">
        <f t="shared" si="10"/>
        <v>349.6744000000017</v>
      </c>
      <c r="G84" s="27">
        <f>G71*G70</f>
        <v>9796.458097439998</v>
      </c>
      <c r="H84" s="63">
        <v>9305</v>
      </c>
      <c r="I84" s="25">
        <f t="shared" si="11"/>
        <v>491.4580974399978</v>
      </c>
      <c r="J84" s="27">
        <f>J71*J70</f>
        <v>9878.3916</v>
      </c>
      <c r="K84" s="22">
        <f>K71*K70</f>
        <v>9509.811927</v>
      </c>
      <c r="L84" s="80">
        <f>L71*L70</f>
        <v>10397.574</v>
      </c>
      <c r="M84" s="47">
        <f t="shared" si="9"/>
        <v>-887.7620729999999</v>
      </c>
      <c r="N84" s="6">
        <f>L84-J84</f>
        <v>519.1823999999997</v>
      </c>
      <c r="O84" s="21" t="e">
        <f>L84/(#REF!+1E-103)*100</f>
        <v>#REF!</v>
      </c>
      <c r="P84" s="75"/>
      <c r="Q84" s="27">
        <v>22540.19</v>
      </c>
      <c r="R84" s="27">
        <v>876.91</v>
      </c>
      <c r="S84" s="27">
        <v>64.53</v>
      </c>
      <c r="T84" s="45">
        <f>Q84+R84+S84</f>
        <v>23481.629999999997</v>
      </c>
      <c r="U84" s="22">
        <f>U71*U70</f>
        <v>21238.49282234803</v>
      </c>
      <c r="V84" s="84">
        <v>25692.7</v>
      </c>
      <c r="W84" s="47">
        <f t="shared" si="8"/>
        <v>-2211.0700000000033</v>
      </c>
      <c r="X84" s="22">
        <v>24420.19</v>
      </c>
      <c r="Y84" s="22">
        <v>1113.95</v>
      </c>
      <c r="Z84" s="22">
        <v>76.3</v>
      </c>
      <c r="AA84" s="69">
        <f t="shared" si="13"/>
        <v>25610.44</v>
      </c>
    </row>
    <row r="85" spans="1:27" ht="16.5" customHeight="1">
      <c r="A85" s="1">
        <v>22</v>
      </c>
      <c r="B85" s="35" t="s">
        <v>10</v>
      </c>
      <c r="C85" s="33" t="s">
        <v>8</v>
      </c>
      <c r="D85" s="27">
        <f>D66*D65</f>
        <v>0</v>
      </c>
      <c r="E85" s="6">
        <v>1978</v>
      </c>
      <c r="F85" s="25">
        <f>D85-E85</f>
        <v>-1978</v>
      </c>
      <c r="G85" s="27">
        <f>G66*G65</f>
        <v>0</v>
      </c>
      <c r="H85" s="63">
        <v>1958</v>
      </c>
      <c r="I85" s="25">
        <f>G85-H85</f>
        <v>-1958</v>
      </c>
      <c r="J85" s="27">
        <f>J66*J65</f>
        <v>0</v>
      </c>
      <c r="K85" s="22">
        <f>K66*K65</f>
        <v>10000</v>
      </c>
      <c r="L85" s="80">
        <v>2934.02</v>
      </c>
      <c r="M85" s="47">
        <f>K85-L85</f>
        <v>7065.98</v>
      </c>
      <c r="N85" s="6">
        <f>L85-J85</f>
        <v>2934.02</v>
      </c>
      <c r="O85" s="21" t="e">
        <f>L85/(#REF!+1E-103)*100</f>
        <v>#REF!</v>
      </c>
      <c r="P85" s="7"/>
      <c r="Q85" s="27">
        <v>2039.57</v>
      </c>
      <c r="R85" s="27">
        <v>12.78</v>
      </c>
      <c r="S85" s="27">
        <v>5.98</v>
      </c>
      <c r="T85" s="45">
        <f>Q85+R85+S85</f>
        <v>2058.33</v>
      </c>
      <c r="U85" s="22">
        <v>1563.58</v>
      </c>
      <c r="V85" s="84">
        <v>2863.8</v>
      </c>
      <c r="W85" s="47">
        <f t="shared" si="8"/>
        <v>-805.4700000000003</v>
      </c>
      <c r="X85" s="22">
        <v>2345.59</v>
      </c>
      <c r="Y85" s="22">
        <v>0</v>
      </c>
      <c r="Z85" s="22">
        <v>6.91</v>
      </c>
      <c r="AA85" s="69">
        <f t="shared" si="13"/>
        <v>2352.5</v>
      </c>
    </row>
    <row r="86" spans="1:27" ht="16.5" customHeight="1">
      <c r="A86" s="1">
        <v>23</v>
      </c>
      <c r="B86" s="35" t="s">
        <v>11</v>
      </c>
      <c r="C86" s="33" t="s">
        <v>83</v>
      </c>
      <c r="D86" s="27"/>
      <c r="E86" s="5"/>
      <c r="F86" s="25"/>
      <c r="G86" s="27"/>
      <c r="H86" s="63"/>
      <c r="I86" s="25"/>
      <c r="J86" s="27"/>
      <c r="K86" s="22"/>
      <c r="L86" s="80"/>
      <c r="M86" s="47"/>
      <c r="N86" s="6"/>
      <c r="O86" s="21"/>
      <c r="P86" s="75"/>
      <c r="Q86" s="27">
        <v>634.31</v>
      </c>
      <c r="R86" s="27">
        <v>65.59</v>
      </c>
      <c r="S86" s="27">
        <v>6.03</v>
      </c>
      <c r="T86" s="45">
        <f>Q86+R86+S86</f>
        <v>705.93</v>
      </c>
      <c r="U86" s="22"/>
      <c r="V86" s="84">
        <v>145.7</v>
      </c>
      <c r="W86" s="47">
        <f t="shared" si="8"/>
        <v>560.23</v>
      </c>
      <c r="X86" s="22">
        <v>678.71</v>
      </c>
      <c r="Y86" s="22">
        <v>70.18</v>
      </c>
      <c r="Z86" s="22">
        <v>6.45</v>
      </c>
      <c r="AA86" s="69">
        <f t="shared" si="13"/>
        <v>755.3400000000001</v>
      </c>
    </row>
    <row r="87" spans="1:27" ht="16.5" customHeight="1">
      <c r="A87" s="1">
        <v>24</v>
      </c>
      <c r="B87" s="35" t="s">
        <v>84</v>
      </c>
      <c r="C87" s="33" t="s">
        <v>83</v>
      </c>
      <c r="D87" s="27"/>
      <c r="E87" s="5"/>
      <c r="F87" s="25"/>
      <c r="G87" s="27"/>
      <c r="H87" s="63"/>
      <c r="I87" s="25"/>
      <c r="J87" s="27"/>
      <c r="K87" s="22"/>
      <c r="L87" s="80"/>
      <c r="M87" s="47"/>
      <c r="N87" s="6"/>
      <c r="O87" s="21"/>
      <c r="P87" s="75"/>
      <c r="Q87" s="27">
        <v>10807.52</v>
      </c>
      <c r="R87" s="27">
        <v>1555.2</v>
      </c>
      <c r="S87" s="27">
        <v>311</v>
      </c>
      <c r="T87" s="45">
        <f>Q87+R87+S87</f>
        <v>12673.720000000001</v>
      </c>
      <c r="U87" s="22"/>
      <c r="V87" s="84">
        <v>13427.3</v>
      </c>
      <c r="W87" s="47">
        <f t="shared" si="8"/>
        <v>-753.5799999999981</v>
      </c>
      <c r="X87" s="22">
        <v>11596.47</v>
      </c>
      <c r="Y87" s="22">
        <v>1668.73</v>
      </c>
      <c r="Z87" s="22">
        <v>333.71</v>
      </c>
      <c r="AA87" s="69">
        <f t="shared" si="13"/>
        <v>13598.909999999998</v>
      </c>
    </row>
    <row r="88" spans="1:27" ht="16.5" customHeight="1">
      <c r="A88" s="1">
        <v>25</v>
      </c>
      <c r="B88" s="35" t="s">
        <v>85</v>
      </c>
      <c r="C88" s="33" t="s">
        <v>79</v>
      </c>
      <c r="D88" s="27"/>
      <c r="E88" s="5"/>
      <c r="F88" s="25"/>
      <c r="G88" s="27"/>
      <c r="H88" s="63"/>
      <c r="I88" s="25"/>
      <c r="J88" s="27"/>
      <c r="K88" s="22"/>
      <c r="L88" s="80"/>
      <c r="M88" s="47"/>
      <c r="N88" s="6"/>
      <c r="O88" s="21"/>
      <c r="P88" s="75"/>
      <c r="Q88" s="27">
        <v>6349.31</v>
      </c>
      <c r="R88" s="27">
        <v>6480</v>
      </c>
      <c r="S88" s="27">
        <v>6479.38</v>
      </c>
      <c r="T88" s="27">
        <f>T87/T89/12*1000</f>
        <v>6519.403292181071</v>
      </c>
      <c r="U88" s="22"/>
      <c r="V88" s="84">
        <v>8227</v>
      </c>
      <c r="W88" s="47">
        <f t="shared" si="8"/>
        <v>-1707.5967078189287</v>
      </c>
      <c r="X88" s="22">
        <v>7212</v>
      </c>
      <c r="Y88" s="22">
        <v>6953.04</v>
      </c>
      <c r="Z88" s="22">
        <v>6952.37</v>
      </c>
      <c r="AA88" s="69">
        <f t="shared" si="13"/>
        <v>21117.41</v>
      </c>
    </row>
    <row r="89" spans="1:27" ht="16.5" customHeight="1">
      <c r="A89" s="1">
        <v>26</v>
      </c>
      <c r="B89" s="35" t="s">
        <v>24</v>
      </c>
      <c r="C89" s="33" t="s">
        <v>87</v>
      </c>
      <c r="D89" s="27"/>
      <c r="E89" s="5"/>
      <c r="F89" s="25"/>
      <c r="G89" s="27"/>
      <c r="H89" s="63"/>
      <c r="I89" s="25"/>
      <c r="J89" s="27"/>
      <c r="K89" s="22"/>
      <c r="L89" s="80"/>
      <c r="M89" s="47"/>
      <c r="N89" s="6"/>
      <c r="O89" s="21"/>
      <c r="P89" s="75"/>
      <c r="Q89" s="27">
        <v>138</v>
      </c>
      <c r="R89" s="27">
        <v>20</v>
      </c>
      <c r="S89" s="27">
        <v>4</v>
      </c>
      <c r="T89" s="45">
        <f aca="true" t="shared" si="14" ref="T89:T102">Q89+R89+S89</f>
        <v>162</v>
      </c>
      <c r="U89" s="22"/>
      <c r="V89" s="84">
        <v>136</v>
      </c>
      <c r="W89" s="47">
        <f t="shared" si="8"/>
        <v>26</v>
      </c>
      <c r="X89" s="22">
        <v>134</v>
      </c>
      <c r="Y89" s="22">
        <v>20</v>
      </c>
      <c r="Z89" s="22">
        <v>4</v>
      </c>
      <c r="AA89" s="69">
        <f t="shared" si="13"/>
        <v>158</v>
      </c>
    </row>
    <row r="90" spans="1:29" ht="16.5" customHeight="1">
      <c r="A90" s="1">
        <v>27</v>
      </c>
      <c r="B90" s="35" t="s">
        <v>86</v>
      </c>
      <c r="C90" s="33" t="s">
        <v>83</v>
      </c>
      <c r="D90" s="27"/>
      <c r="E90" s="5"/>
      <c r="F90" s="25"/>
      <c r="G90" s="27"/>
      <c r="H90" s="63"/>
      <c r="I90" s="25"/>
      <c r="J90" s="27"/>
      <c r="K90" s="22"/>
      <c r="L90" s="80"/>
      <c r="M90" s="47"/>
      <c r="N90" s="6"/>
      <c r="O90" s="21"/>
      <c r="P90" s="75"/>
      <c r="Q90" s="27">
        <v>2831.57</v>
      </c>
      <c r="R90" s="27">
        <v>235.11</v>
      </c>
      <c r="S90" s="27">
        <v>81.48</v>
      </c>
      <c r="T90" s="45">
        <f t="shared" si="14"/>
        <v>3148.1600000000003</v>
      </c>
      <c r="U90" s="22"/>
      <c r="V90" s="84">
        <v>3222.6</v>
      </c>
      <c r="W90" s="47">
        <f t="shared" si="8"/>
        <v>-74.4399999999996</v>
      </c>
      <c r="X90" s="22">
        <v>3942.8</v>
      </c>
      <c r="Y90" s="22">
        <v>567.37</v>
      </c>
      <c r="Z90" s="22">
        <v>113.46</v>
      </c>
      <c r="AA90" s="69">
        <f t="shared" si="13"/>
        <v>4623.63</v>
      </c>
      <c r="AC90" s="99"/>
    </row>
    <row r="91" spans="1:27" ht="16.5" customHeight="1">
      <c r="A91" s="1">
        <v>28</v>
      </c>
      <c r="B91" s="35" t="s">
        <v>12</v>
      </c>
      <c r="C91" s="33" t="s">
        <v>83</v>
      </c>
      <c r="D91" s="27"/>
      <c r="E91" s="5"/>
      <c r="F91" s="25"/>
      <c r="G91" s="27"/>
      <c r="H91" s="63"/>
      <c r="I91" s="25"/>
      <c r="J91" s="27"/>
      <c r="K91" s="22"/>
      <c r="L91" s="80"/>
      <c r="M91" s="47"/>
      <c r="N91" s="6"/>
      <c r="O91" s="21"/>
      <c r="P91" s="75"/>
      <c r="Q91" s="27">
        <v>3086.5</v>
      </c>
      <c r="R91" s="27">
        <v>0</v>
      </c>
      <c r="S91" s="27">
        <v>2.3</v>
      </c>
      <c r="T91" s="45">
        <f t="shared" si="14"/>
        <v>3088.8</v>
      </c>
      <c r="U91" s="22"/>
      <c r="V91" s="84">
        <v>3094.9</v>
      </c>
      <c r="W91" s="47">
        <f aca="true" t="shared" si="15" ref="W91:W105">T91-V91</f>
        <v>-6.099999999999909</v>
      </c>
      <c r="X91" s="22">
        <v>3086.5</v>
      </c>
      <c r="Y91" s="22">
        <v>0</v>
      </c>
      <c r="Z91" s="22">
        <v>2.3</v>
      </c>
      <c r="AA91" s="69">
        <f t="shared" si="13"/>
        <v>3088.8</v>
      </c>
    </row>
    <row r="92" spans="1:27" ht="40.5" customHeight="1">
      <c r="A92" s="1">
        <v>29</v>
      </c>
      <c r="B92" s="35" t="s">
        <v>109</v>
      </c>
      <c r="C92" s="33" t="s">
        <v>83</v>
      </c>
      <c r="D92" s="27"/>
      <c r="E92" s="5"/>
      <c r="F92" s="25"/>
      <c r="G92" s="27"/>
      <c r="H92" s="63"/>
      <c r="I92" s="25"/>
      <c r="J92" s="27"/>
      <c r="K92" s="22"/>
      <c r="L92" s="80"/>
      <c r="M92" s="47"/>
      <c r="N92" s="6"/>
      <c r="O92" s="21"/>
      <c r="P92" s="75"/>
      <c r="Q92" s="27">
        <f>Q93+Q94+Q95</f>
        <v>5209.35</v>
      </c>
      <c r="R92" s="27">
        <v>479.5</v>
      </c>
      <c r="S92" s="27">
        <v>17.73</v>
      </c>
      <c r="T92" s="45">
        <f t="shared" si="14"/>
        <v>5706.58</v>
      </c>
      <c r="U92" s="22"/>
      <c r="V92" s="84">
        <v>5533.3</v>
      </c>
      <c r="W92" s="47">
        <f t="shared" si="15"/>
        <v>173.27999999999975</v>
      </c>
      <c r="X92" s="22">
        <v>5574</v>
      </c>
      <c r="Y92" s="22">
        <v>513.07</v>
      </c>
      <c r="Z92" s="22">
        <v>18.97</v>
      </c>
      <c r="AA92" s="69">
        <f t="shared" si="13"/>
        <v>6106.04</v>
      </c>
    </row>
    <row r="93" spans="1:27" ht="24" customHeight="1">
      <c r="A93" s="1"/>
      <c r="B93" s="35" t="s">
        <v>88</v>
      </c>
      <c r="C93" s="33" t="s">
        <v>83</v>
      </c>
      <c r="D93" s="27"/>
      <c r="E93" s="5"/>
      <c r="F93" s="25"/>
      <c r="G93" s="27"/>
      <c r="H93" s="63"/>
      <c r="I93" s="25"/>
      <c r="J93" s="27"/>
      <c r="K93" s="22"/>
      <c r="L93" s="80"/>
      <c r="M93" s="47"/>
      <c r="N93" s="6"/>
      <c r="O93" s="21"/>
      <c r="P93" s="75"/>
      <c r="Q93" s="27">
        <v>827.55</v>
      </c>
      <c r="R93" s="27">
        <v>449.5</v>
      </c>
      <c r="S93" s="27">
        <v>4.23</v>
      </c>
      <c r="T93" s="45">
        <f t="shared" si="14"/>
        <v>1281.28</v>
      </c>
      <c r="U93" s="33"/>
      <c r="V93" s="84">
        <v>1728.7</v>
      </c>
      <c r="W93" s="47">
        <f t="shared" si="15"/>
        <v>-447.4200000000001</v>
      </c>
      <c r="X93" s="22">
        <v>885.48</v>
      </c>
      <c r="Y93" s="22">
        <v>480.97</v>
      </c>
      <c r="Z93" s="22">
        <v>4.526</v>
      </c>
      <c r="AA93" s="69">
        <f t="shared" si="13"/>
        <v>1370.976</v>
      </c>
    </row>
    <row r="94" spans="1:27" ht="16.5" customHeight="1">
      <c r="A94" s="1"/>
      <c r="B94" s="35" t="s">
        <v>89</v>
      </c>
      <c r="C94" s="33" t="s">
        <v>83</v>
      </c>
      <c r="D94" s="27"/>
      <c r="E94" s="5"/>
      <c r="F94" s="25"/>
      <c r="G94" s="27"/>
      <c r="H94" s="63"/>
      <c r="I94" s="25"/>
      <c r="J94" s="27"/>
      <c r="K94" s="22"/>
      <c r="L94" s="80"/>
      <c r="M94" s="47"/>
      <c r="N94" s="6"/>
      <c r="O94" s="21"/>
      <c r="P94" s="75"/>
      <c r="Q94" s="27">
        <v>2064.12</v>
      </c>
      <c r="R94" s="27">
        <v>30</v>
      </c>
      <c r="S94" s="27">
        <v>0</v>
      </c>
      <c r="T94" s="45">
        <f t="shared" si="14"/>
        <v>2094.12</v>
      </c>
      <c r="U94" s="22"/>
      <c r="V94" s="84">
        <v>1710.4</v>
      </c>
      <c r="W94" s="47">
        <f t="shared" si="15"/>
        <v>383.7199999999998</v>
      </c>
      <c r="X94" s="22">
        <v>2208.6</v>
      </c>
      <c r="Y94" s="22">
        <v>32.1</v>
      </c>
      <c r="Z94" s="22">
        <v>0</v>
      </c>
      <c r="AA94" s="69">
        <f t="shared" si="13"/>
        <v>2240.7</v>
      </c>
    </row>
    <row r="95" spans="1:27" ht="16.5" customHeight="1">
      <c r="A95" s="1"/>
      <c r="B95" s="35" t="s">
        <v>90</v>
      </c>
      <c r="C95" s="33" t="s">
        <v>83</v>
      </c>
      <c r="D95" s="27"/>
      <c r="E95" s="5"/>
      <c r="F95" s="25"/>
      <c r="G95" s="27"/>
      <c r="H95" s="63"/>
      <c r="I95" s="25"/>
      <c r="J95" s="27"/>
      <c r="K95" s="22"/>
      <c r="L95" s="80"/>
      <c r="M95" s="47"/>
      <c r="N95" s="6"/>
      <c r="O95" s="21"/>
      <c r="P95" s="75"/>
      <c r="Q95" s="27">
        <v>2317.68</v>
      </c>
      <c r="R95" s="27">
        <v>0</v>
      </c>
      <c r="S95" s="27">
        <v>13.5</v>
      </c>
      <c r="T95" s="45">
        <f t="shared" si="14"/>
        <v>2331.18</v>
      </c>
      <c r="U95" s="22"/>
      <c r="V95" s="84">
        <f>V92-V93-V94</f>
        <v>2094.2000000000003</v>
      </c>
      <c r="W95" s="47">
        <f t="shared" si="15"/>
        <v>236.97999999999956</v>
      </c>
      <c r="X95" s="22">
        <v>2479.92</v>
      </c>
      <c r="Y95" s="22">
        <v>0</v>
      </c>
      <c r="Z95" s="22">
        <v>14.445</v>
      </c>
      <c r="AA95" s="69">
        <f t="shared" si="13"/>
        <v>2494.3650000000002</v>
      </c>
    </row>
    <row r="96" spans="1:27" ht="16.5" customHeight="1">
      <c r="A96" s="1">
        <v>30</v>
      </c>
      <c r="B96" s="35" t="s">
        <v>13</v>
      </c>
      <c r="C96" s="33" t="s">
        <v>83</v>
      </c>
      <c r="D96" s="27"/>
      <c r="E96" s="5"/>
      <c r="F96" s="25"/>
      <c r="G96" s="27"/>
      <c r="H96" s="63"/>
      <c r="I96" s="25"/>
      <c r="J96" s="27"/>
      <c r="K96" s="22"/>
      <c r="L96" s="80"/>
      <c r="M96" s="47"/>
      <c r="N96" s="6"/>
      <c r="O96" s="21"/>
      <c r="P96" s="75"/>
      <c r="Q96" s="27">
        <v>4767.6</v>
      </c>
      <c r="R96" s="27">
        <v>183.2</v>
      </c>
      <c r="S96" s="27">
        <v>57</v>
      </c>
      <c r="T96" s="45">
        <f t="shared" si="14"/>
        <v>5007.8</v>
      </c>
      <c r="U96" s="22"/>
      <c r="V96" s="84">
        <v>9836.1</v>
      </c>
      <c r="W96" s="47">
        <f t="shared" si="15"/>
        <v>-4828.3</v>
      </c>
      <c r="X96" s="22">
        <v>5440.35</v>
      </c>
      <c r="Y96" s="22">
        <v>224.82</v>
      </c>
      <c r="Z96" s="22">
        <v>65.13</v>
      </c>
      <c r="AA96" s="69">
        <f t="shared" si="13"/>
        <v>5730.3</v>
      </c>
    </row>
    <row r="97" spans="1:27" ht="16.5" customHeight="1">
      <c r="A97" s="1"/>
      <c r="B97" s="35" t="s">
        <v>91</v>
      </c>
      <c r="C97" s="33" t="s">
        <v>83</v>
      </c>
      <c r="D97" s="27"/>
      <c r="E97" s="5"/>
      <c r="F97" s="25"/>
      <c r="G97" s="27"/>
      <c r="H97" s="63"/>
      <c r="I97" s="25"/>
      <c r="J97" s="27"/>
      <c r="K97" s="22"/>
      <c r="L97" s="80"/>
      <c r="M97" s="47"/>
      <c r="N97" s="6"/>
      <c r="O97" s="21"/>
      <c r="P97" s="75"/>
      <c r="Q97" s="27">
        <v>3783.75</v>
      </c>
      <c r="R97" s="27">
        <v>145.2</v>
      </c>
      <c r="S97" s="27">
        <v>45.3</v>
      </c>
      <c r="T97" s="45">
        <f t="shared" si="14"/>
        <v>3974.25</v>
      </c>
      <c r="U97" s="22"/>
      <c r="V97" s="84">
        <v>7368.7</v>
      </c>
      <c r="W97" s="47">
        <f t="shared" si="15"/>
        <v>-3394.45</v>
      </c>
      <c r="X97" s="22">
        <v>4059.96</v>
      </c>
      <c r="Y97" s="22">
        <v>171.85</v>
      </c>
      <c r="Z97" s="22">
        <v>48.61</v>
      </c>
      <c r="AA97" s="69">
        <f t="shared" si="13"/>
        <v>4280.42</v>
      </c>
    </row>
    <row r="98" spans="1:27" ht="16.5" customHeight="1">
      <c r="A98" s="1"/>
      <c r="B98" s="35" t="s">
        <v>92</v>
      </c>
      <c r="C98" s="33" t="s">
        <v>83</v>
      </c>
      <c r="D98" s="27"/>
      <c r="E98" s="5"/>
      <c r="F98" s="25"/>
      <c r="G98" s="27"/>
      <c r="H98" s="63"/>
      <c r="I98" s="25"/>
      <c r="J98" s="27"/>
      <c r="K98" s="22"/>
      <c r="L98" s="80"/>
      <c r="M98" s="47"/>
      <c r="N98" s="6"/>
      <c r="O98" s="21"/>
      <c r="P98" s="75"/>
      <c r="Q98" s="27">
        <v>983.85</v>
      </c>
      <c r="R98" s="27">
        <v>38</v>
      </c>
      <c r="S98" s="27">
        <v>11.7</v>
      </c>
      <c r="T98" s="45">
        <f t="shared" si="14"/>
        <v>1033.55</v>
      </c>
      <c r="U98" s="22"/>
      <c r="V98" s="84">
        <v>2467.4</v>
      </c>
      <c r="W98" s="47">
        <f t="shared" si="15"/>
        <v>-1433.8500000000001</v>
      </c>
      <c r="X98" s="22">
        <v>1380.39</v>
      </c>
      <c r="Y98" s="22">
        <v>52.97</v>
      </c>
      <c r="Z98" s="22">
        <v>16.53</v>
      </c>
      <c r="AA98" s="69">
        <f t="shared" si="13"/>
        <v>1449.89</v>
      </c>
    </row>
    <row r="99" spans="1:27" ht="25.5" customHeight="1">
      <c r="A99" s="1">
        <v>31</v>
      </c>
      <c r="B99" s="35" t="s">
        <v>93</v>
      </c>
      <c r="C99" s="33" t="s">
        <v>83</v>
      </c>
      <c r="D99" s="27"/>
      <c r="E99" s="5"/>
      <c r="F99" s="25"/>
      <c r="G99" s="27"/>
      <c r="H99" s="63"/>
      <c r="I99" s="25"/>
      <c r="J99" s="27"/>
      <c r="K99" s="22"/>
      <c r="L99" s="80"/>
      <c r="M99" s="47"/>
      <c r="N99" s="6"/>
      <c r="O99" s="21"/>
      <c r="P99" s="75"/>
      <c r="Q99" s="27">
        <v>46.35</v>
      </c>
      <c r="R99" s="27">
        <v>15</v>
      </c>
      <c r="S99" s="27">
        <v>0</v>
      </c>
      <c r="T99" s="45">
        <f t="shared" si="14"/>
        <v>61.35</v>
      </c>
      <c r="U99" s="22"/>
      <c r="V99" s="84">
        <v>255.1</v>
      </c>
      <c r="W99" s="47">
        <f t="shared" si="15"/>
        <v>-193.75</v>
      </c>
      <c r="X99" s="22">
        <v>49.59</v>
      </c>
      <c r="Y99" s="22">
        <v>16.05</v>
      </c>
      <c r="Z99" s="22">
        <v>0</v>
      </c>
      <c r="AA99" s="69">
        <f t="shared" si="13"/>
        <v>65.64</v>
      </c>
    </row>
    <row r="100" spans="1:27" ht="16.5" customHeight="1">
      <c r="A100" s="1">
        <v>32</v>
      </c>
      <c r="B100" s="35" t="s">
        <v>94</v>
      </c>
      <c r="C100" s="33" t="s">
        <v>83</v>
      </c>
      <c r="D100" s="27"/>
      <c r="E100" s="5"/>
      <c r="F100" s="25"/>
      <c r="G100" s="27"/>
      <c r="H100" s="63"/>
      <c r="I100" s="25"/>
      <c r="J100" s="27"/>
      <c r="K100" s="22"/>
      <c r="L100" s="80"/>
      <c r="M100" s="47"/>
      <c r="N100" s="6"/>
      <c r="O100" s="21"/>
      <c r="P100" s="75"/>
      <c r="Q100" s="27">
        <v>620.33</v>
      </c>
      <c r="R100" s="27">
        <v>48.9</v>
      </c>
      <c r="S100" s="27">
        <v>11</v>
      </c>
      <c r="T100" s="45">
        <f t="shared" si="14"/>
        <v>680.23</v>
      </c>
      <c r="U100" s="22"/>
      <c r="V100" s="84">
        <v>594.7</v>
      </c>
      <c r="W100" s="47">
        <f t="shared" si="15"/>
        <v>85.52999999999997</v>
      </c>
      <c r="X100" s="22">
        <v>663.75</v>
      </c>
      <c r="Y100" s="22">
        <v>2284.4</v>
      </c>
      <c r="Z100" s="22">
        <v>11.77</v>
      </c>
      <c r="AA100" s="69">
        <f t="shared" si="13"/>
        <v>2959.92</v>
      </c>
    </row>
    <row r="101" spans="1:27" ht="16.5" customHeight="1">
      <c r="A101" s="1">
        <v>33</v>
      </c>
      <c r="B101" s="35" t="s">
        <v>95</v>
      </c>
      <c r="C101" s="33" t="s">
        <v>83</v>
      </c>
      <c r="D101" s="27"/>
      <c r="E101" s="5"/>
      <c r="F101" s="25"/>
      <c r="G101" s="27"/>
      <c r="H101" s="63"/>
      <c r="I101" s="25"/>
      <c r="J101" s="27"/>
      <c r="K101" s="22"/>
      <c r="L101" s="80"/>
      <c r="M101" s="47"/>
      <c r="N101" s="6"/>
      <c r="O101" s="21"/>
      <c r="P101" s="75"/>
      <c r="Q101" s="27">
        <v>218.27</v>
      </c>
      <c r="R101" s="27">
        <v>0</v>
      </c>
      <c r="S101" s="27">
        <v>0</v>
      </c>
      <c r="T101" s="45">
        <f t="shared" si="14"/>
        <v>218.27</v>
      </c>
      <c r="U101" s="22"/>
      <c r="V101" s="84">
        <v>308</v>
      </c>
      <c r="W101" s="47">
        <f t="shared" si="15"/>
        <v>-89.72999999999999</v>
      </c>
      <c r="X101" s="22">
        <v>934.87</v>
      </c>
      <c r="Y101" s="22"/>
      <c r="Z101" s="22">
        <v>0</v>
      </c>
      <c r="AA101" s="69">
        <f t="shared" si="13"/>
        <v>934.87</v>
      </c>
    </row>
    <row r="102" spans="1:27" ht="16.5" customHeight="1">
      <c r="A102" s="1">
        <v>34</v>
      </c>
      <c r="B102" s="35" t="s">
        <v>96</v>
      </c>
      <c r="C102" s="33" t="s">
        <v>83</v>
      </c>
      <c r="D102" s="27"/>
      <c r="E102" s="5"/>
      <c r="F102" s="25"/>
      <c r="G102" s="27"/>
      <c r="H102" s="63"/>
      <c r="I102" s="25"/>
      <c r="J102" s="27"/>
      <c r="K102" s="22"/>
      <c r="L102" s="80"/>
      <c r="M102" s="47"/>
      <c r="N102" s="6"/>
      <c r="O102" s="21"/>
      <c r="P102" s="75"/>
      <c r="Q102" s="27">
        <f>Q76+Q84+Q85+Q86+Q87+Q90+Q91+Q92+Q96+Q99+Q100+Q101</f>
        <v>132679.42463418175</v>
      </c>
      <c r="R102" s="27">
        <v>10961.49</v>
      </c>
      <c r="S102" s="27">
        <v>1067.65</v>
      </c>
      <c r="T102" s="45">
        <f t="shared" si="14"/>
        <v>144708.56463418173</v>
      </c>
      <c r="U102" s="22"/>
      <c r="V102" s="27">
        <f>V76+V84+V85+V86+V87+V90+V91+V92+V96+V99+V100+V101</f>
        <v>160040.80000000002</v>
      </c>
      <c r="W102" s="47">
        <f t="shared" si="15"/>
        <v>-15332.235365818284</v>
      </c>
      <c r="X102" s="22">
        <f>X76+X84+X85+X86+X90+X87+X91+X92+X96+X99+X100+X101</f>
        <v>148860.5</v>
      </c>
      <c r="Y102" s="22">
        <f>Y76+Y84+Y85+Y86+Y90+Y87+Y91+Y92+Y96+Y99+Y100+Y101</f>
        <v>14806.38</v>
      </c>
      <c r="Z102" s="22">
        <f>Z76+Z84+Z85+Z86+Z90+Z87+Z91+Z92+Z96+Z99+Z100+Z101</f>
        <v>1167.8899999999999</v>
      </c>
      <c r="AA102" s="69">
        <f t="shared" si="13"/>
        <v>164834.77000000002</v>
      </c>
    </row>
    <row r="103" spans="1:27" ht="16.5" customHeight="1">
      <c r="A103" s="1">
        <v>35</v>
      </c>
      <c r="B103" s="35" t="s">
        <v>101</v>
      </c>
      <c r="C103" s="33" t="s">
        <v>79</v>
      </c>
      <c r="D103" s="27"/>
      <c r="E103" s="5"/>
      <c r="F103" s="25"/>
      <c r="G103" s="27"/>
      <c r="H103" s="63"/>
      <c r="I103" s="25"/>
      <c r="J103" s="27"/>
      <c r="K103" s="22"/>
      <c r="L103" s="80"/>
      <c r="M103" s="47"/>
      <c r="N103" s="6"/>
      <c r="O103" s="21"/>
      <c r="P103" s="75"/>
      <c r="Q103" s="27">
        <v>781.39</v>
      </c>
      <c r="R103" s="27">
        <v>610.2</v>
      </c>
      <c r="S103" s="27">
        <v>2127.65</v>
      </c>
      <c r="T103" s="27">
        <f>T102/T24*1000</f>
        <v>768.6422949109742</v>
      </c>
      <c r="U103" s="22"/>
      <c r="V103" s="84">
        <f>V102/V24*1000</f>
        <v>1000.6114678354165</v>
      </c>
      <c r="W103" s="47">
        <f t="shared" si="15"/>
        <v>-231.96917292444232</v>
      </c>
      <c r="X103" s="22">
        <v>876.68</v>
      </c>
      <c r="Y103" s="22">
        <v>824.24</v>
      </c>
      <c r="Z103" s="22">
        <v>2314.06</v>
      </c>
      <c r="AA103" s="69">
        <f>AA102/AA24*1000</f>
        <v>875.5327313509567</v>
      </c>
    </row>
    <row r="104" spans="1:27" ht="16.5" customHeight="1">
      <c r="A104" s="1">
        <v>36</v>
      </c>
      <c r="B104" s="35" t="s">
        <v>106</v>
      </c>
      <c r="C104" s="33"/>
      <c r="D104" s="27"/>
      <c r="E104" s="5"/>
      <c r="F104" s="25"/>
      <c r="G104" s="27"/>
      <c r="H104" s="63"/>
      <c r="I104" s="25"/>
      <c r="J104" s="27"/>
      <c r="K104" s="22"/>
      <c r="L104" s="80"/>
      <c r="M104" s="47"/>
      <c r="N104" s="6"/>
      <c r="O104" s="21"/>
      <c r="P104" s="75"/>
      <c r="Q104" s="27">
        <v>810.92</v>
      </c>
      <c r="R104" s="27">
        <v>615.54</v>
      </c>
      <c r="S104" s="27">
        <v>2216.79</v>
      </c>
      <c r="T104" s="45">
        <f>T105/T24*1000</f>
        <v>796.0279533398534</v>
      </c>
      <c r="U104" s="22"/>
      <c r="V104" s="27">
        <v>1000.61</v>
      </c>
      <c r="W104" s="47">
        <f>T104-V104</f>
        <v>-204.5820466601466</v>
      </c>
      <c r="X104" s="22">
        <v>898.35</v>
      </c>
      <c r="Y104" s="22">
        <v>829.58</v>
      </c>
      <c r="Z104" s="22">
        <v>2402.69</v>
      </c>
      <c r="AA104" s="69">
        <f>AA105/AA24*1000</f>
        <v>895.821119808643</v>
      </c>
    </row>
    <row r="105" spans="1:27" ht="16.5" customHeight="1">
      <c r="A105" s="1">
        <v>37</v>
      </c>
      <c r="B105" s="35" t="s">
        <v>107</v>
      </c>
      <c r="C105" s="33"/>
      <c r="D105" s="27"/>
      <c r="E105" s="5"/>
      <c r="F105" s="25"/>
      <c r="G105" s="27"/>
      <c r="H105" s="63"/>
      <c r="I105" s="25"/>
      <c r="J105" s="27"/>
      <c r="K105" s="22"/>
      <c r="L105" s="80"/>
      <c r="M105" s="47"/>
      <c r="N105" s="6"/>
      <c r="O105" s="21"/>
      <c r="P105" s="75"/>
      <c r="Q105" s="27">
        <v>137694.48</v>
      </c>
      <c r="R105" s="27">
        <v>11057.46</v>
      </c>
      <c r="S105" s="27">
        <v>1112.39</v>
      </c>
      <c r="T105" s="27">
        <f>Q105+R105+S105</f>
        <v>149864.33000000002</v>
      </c>
      <c r="U105" s="22"/>
      <c r="V105" s="84">
        <f>T104*V24/1000</f>
        <v>127319.09894103618</v>
      </c>
      <c r="W105" s="47">
        <f>V105-T105</f>
        <v>-22545.231058963836</v>
      </c>
      <c r="X105" s="22">
        <f>X104*X24/1000</f>
        <v>152539.44370950002</v>
      </c>
      <c r="Y105" s="22">
        <v>14902.34</v>
      </c>
      <c r="Z105" s="22">
        <v>1212.64</v>
      </c>
      <c r="AA105" s="69">
        <f t="shared" si="13"/>
        <v>168654.42370950003</v>
      </c>
    </row>
    <row r="106" spans="1:27" ht="22.5" customHeight="1">
      <c r="A106" s="81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>
        <v>11839.02</v>
      </c>
      <c r="M106" s="82">
        <v>11839.02</v>
      </c>
      <c r="N106" s="82"/>
      <c r="O106" s="82"/>
      <c r="P106" s="82"/>
      <c r="Q106" s="83"/>
      <c r="R106" s="83"/>
      <c r="S106" s="83"/>
      <c r="T106" s="83"/>
      <c r="U106" s="83"/>
      <c r="V106" s="83"/>
      <c r="W106" s="83"/>
      <c r="X106" s="88"/>
      <c r="Y106" s="31"/>
      <c r="Z106" s="88"/>
      <c r="AA106" s="88"/>
    </row>
    <row r="107" spans="1:25" s="4" customFormat="1" ht="22.5" customHeight="1">
      <c r="A107" s="68"/>
      <c r="B107" s="68"/>
      <c r="C107" s="13"/>
      <c r="D107" s="13"/>
      <c r="E107" s="13"/>
      <c r="F107" s="13"/>
      <c r="G107" s="10"/>
      <c r="H107" s="10"/>
      <c r="I107" s="14"/>
      <c r="J107" s="14"/>
      <c r="K107" s="14"/>
      <c r="L107" s="10"/>
      <c r="M107" s="11"/>
      <c r="N107" s="11"/>
      <c r="O107" s="11"/>
      <c r="P107" s="11"/>
      <c r="Y107" s="129"/>
    </row>
    <row r="108" spans="1:25" ht="15">
      <c r="A108" s="8"/>
      <c r="B108" s="8"/>
      <c r="C108" s="8"/>
      <c r="D108" s="8"/>
      <c r="E108" s="8"/>
      <c r="F108" s="8"/>
      <c r="G108" s="15"/>
      <c r="H108" s="15"/>
      <c r="I108" s="118"/>
      <c r="J108" s="118"/>
      <c r="K108" s="16"/>
      <c r="L108" s="10"/>
      <c r="M108" s="11"/>
      <c r="N108" s="115"/>
      <c r="O108" s="115"/>
      <c r="P108" s="115"/>
      <c r="Y108" s="130"/>
    </row>
    <row r="109" spans="1:25" ht="14.25" customHeight="1">
      <c r="A109" s="8"/>
      <c r="B109" s="116" t="s">
        <v>110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94"/>
      <c r="S109" s="94"/>
      <c r="T109" s="94"/>
      <c r="Y109" s="130"/>
    </row>
    <row r="110" spans="1:20" ht="19.5" customHeight="1">
      <c r="A110" s="68"/>
      <c r="B110" s="117" t="s">
        <v>80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95"/>
      <c r="S110" s="95"/>
      <c r="T110" s="95"/>
    </row>
    <row r="111" spans="1:14" ht="12" customHeight="1">
      <c r="A111" s="12"/>
      <c r="B111" s="12"/>
      <c r="C111" s="12"/>
      <c r="D111" s="12"/>
      <c r="E111" s="12"/>
      <c r="F111" s="12"/>
      <c r="G111" s="12"/>
      <c r="H111" s="9"/>
      <c r="I111" t="s">
        <v>74</v>
      </c>
      <c r="J111" s="2">
        <v>218</v>
      </c>
      <c r="K111" s="86">
        <f>Q35</f>
        <v>26999.897608503103</v>
      </c>
      <c r="L111" s="86">
        <f>K111/J111</f>
        <v>123.85274132340872</v>
      </c>
      <c r="M111" s="86">
        <v>2121.95</v>
      </c>
      <c r="N111" s="86">
        <f>K111*M111/1000</f>
        <v>57292.43273036315</v>
      </c>
    </row>
    <row r="112" spans="1:14" ht="12.75" customHeight="1">
      <c r="A112" s="122"/>
      <c r="B112" s="122"/>
      <c r="C112" s="122"/>
      <c r="D112" s="17"/>
      <c r="E112" s="18"/>
      <c r="F112" s="18"/>
      <c r="G112" s="19"/>
      <c r="H112" s="19"/>
      <c r="I112" t="s">
        <v>75</v>
      </c>
      <c r="J112" s="2">
        <v>90</v>
      </c>
      <c r="K112" s="86">
        <f>J112*L111</f>
        <v>11146.746719106784</v>
      </c>
      <c r="L112" s="86">
        <f>L111</f>
        <v>123.85274132340872</v>
      </c>
      <c r="M112" s="86">
        <v>1970.95</v>
      </c>
      <c r="N112" s="86">
        <f>K112*M112/1000</f>
        <v>21969.680446023518</v>
      </c>
    </row>
    <row r="113" spans="9:14" ht="12.75">
      <c r="I113" t="s">
        <v>76</v>
      </c>
      <c r="J113" s="2">
        <v>36</v>
      </c>
      <c r="K113" s="86">
        <f>J113*L111</f>
        <v>4458.698687642714</v>
      </c>
      <c r="L113" s="86">
        <f>L112</f>
        <v>123.85274132340872</v>
      </c>
      <c r="M113" s="86">
        <v>2072.95</v>
      </c>
      <c r="N113" s="86">
        <f>K113*M113/1000</f>
        <v>9242.659444548963</v>
      </c>
    </row>
    <row r="114" spans="9:14" ht="12.75">
      <c r="I114" t="s">
        <v>77</v>
      </c>
      <c r="J114" s="2">
        <f>J112+J113</f>
        <v>126</v>
      </c>
      <c r="K114" s="87">
        <f>K112+K113</f>
        <v>15605.445406749499</v>
      </c>
      <c r="L114" s="2"/>
      <c r="M114" s="86">
        <f>N114/K114*1000</f>
        <v>2000.0928571428572</v>
      </c>
      <c r="N114" s="86">
        <f>N112+N113</f>
        <v>31212.339890572483</v>
      </c>
    </row>
    <row r="115" spans="9:12" ht="12.75">
      <c r="I115"/>
      <c r="J115" s="2"/>
      <c r="K115" s="2"/>
      <c r="L115" s="2"/>
    </row>
  </sheetData>
  <sheetProtection formatCells="0" formatColumns="0" formatRows="0"/>
  <mergeCells count="30">
    <mergeCell ref="Y6:Y7"/>
    <mergeCell ref="X6:X7"/>
    <mergeCell ref="A1:W4"/>
    <mergeCell ref="D5:F5"/>
    <mergeCell ref="J6:J7"/>
    <mergeCell ref="G5:I5"/>
    <mergeCell ref="M6:M7"/>
    <mergeCell ref="J5:M5"/>
    <mergeCell ref="H6:H7"/>
    <mergeCell ref="I6:I7"/>
    <mergeCell ref="B5:B7"/>
    <mergeCell ref="C5:C7"/>
    <mergeCell ref="A112:C112"/>
    <mergeCell ref="D6:D7"/>
    <mergeCell ref="A5:A7"/>
    <mergeCell ref="B109:Q109"/>
    <mergeCell ref="B110:Q110"/>
    <mergeCell ref="I108:J108"/>
    <mergeCell ref="P5:P7"/>
    <mergeCell ref="Q5:W5"/>
    <mergeCell ref="Q6:Q7"/>
    <mergeCell ref="U6:U7"/>
    <mergeCell ref="V6:V7"/>
    <mergeCell ref="W6:W7"/>
    <mergeCell ref="F6:F7"/>
    <mergeCell ref="K6:K7"/>
    <mergeCell ref="E6:E7"/>
    <mergeCell ref="G6:G7"/>
    <mergeCell ref="N108:P108"/>
    <mergeCell ref="L6:L7"/>
  </mergeCells>
  <printOptions/>
  <pageMargins left="0.2362204724409449" right="0.2755905511811024" top="0.03937007874015748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2011-03-14T10:18:23Z</cp:lastPrinted>
  <dcterms:created xsi:type="dcterms:W3CDTF">2005-04-04T07:20:20Z</dcterms:created>
  <dcterms:modified xsi:type="dcterms:W3CDTF">2011-03-24T04:52:47Z</dcterms:modified>
  <cp:category/>
  <cp:version/>
  <cp:contentType/>
  <cp:contentStatus/>
</cp:coreProperties>
</file>