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ЕТО 2013 г. (2)" sheetId="1" r:id="rId1"/>
    <sheet name="ЕТО 2013 г." sheetId="2" r:id="rId2"/>
    <sheet name="Лист1" sheetId="3" r:id="rId3"/>
    <sheet name="Лист2" sheetId="4" r:id="rId4"/>
  </sheets>
  <definedNames>
    <definedName name="_xlnm.Print_Titles" localSheetId="1">'ЕТО 2013 г.'!$1:$7</definedName>
    <definedName name="_xlnm.Print_Titles" localSheetId="0">'ЕТО 2013 г. (2)'!$1:$7</definedName>
    <definedName name="_xlnm.Print_Area" localSheetId="1">'ЕТО 2013 г.'!$A$1:$X$236</definedName>
    <definedName name="_xlnm.Print_Area" localSheetId="0">'ЕТО 2013 г. (2)'!$A$1:$W$236</definedName>
  </definedNames>
  <calcPr fullCalcOnLoad="1"/>
</workbook>
</file>

<file path=xl/comments1.xml><?xml version="1.0" encoding="utf-8"?>
<comments xmlns="http://schemas.openxmlformats.org/spreadsheetml/2006/main">
  <authors>
    <author>tkalmikova</author>
  </authors>
  <commentList>
    <comment ref="A186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tkalmikova</author>
  </authors>
  <commentList>
    <comment ref="A186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tkalmikova</author>
  </authors>
  <commentList>
    <comment ref="A186" authorId="0">
      <text>
        <r>
          <rPr>
            <b/>
            <sz val="8"/>
            <rFont val="Tahoma"/>
            <family val="2"/>
          </rPr>
          <t>tkalmikova: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tkalmikova</author>
  </authors>
  <commentList>
    <comment ref="A186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<sst xmlns="http://schemas.openxmlformats.org/spreadsheetml/2006/main" count="2141" uniqueCount="234">
  <si>
    <t>№  п/п</t>
  </si>
  <si>
    <t>Статьи затрат</t>
  </si>
  <si>
    <t>Ед.изм.</t>
  </si>
  <si>
    <t>Примечание</t>
  </si>
  <si>
    <t>Данные предприятия</t>
  </si>
  <si>
    <t xml:space="preserve">К утверждению ЕТО </t>
  </si>
  <si>
    <t>Годовые затраты по статьям</t>
  </si>
  <si>
    <t>Рост,         %</t>
  </si>
  <si>
    <t>К утверждению ЕТО</t>
  </si>
  <si>
    <t>Отклонение по статьям</t>
  </si>
  <si>
    <t>Удельный вес,         %</t>
  </si>
  <si>
    <t>Тариф</t>
  </si>
  <si>
    <t>Рост к 2011 г.,         %</t>
  </si>
  <si>
    <t>Рост к 07.2012 г.,         %</t>
  </si>
  <si>
    <t>Отклонение по статьям (гр9-гр5)</t>
  </si>
  <si>
    <t>Выработка т/энергии</t>
  </si>
  <si>
    <t>Гкал</t>
  </si>
  <si>
    <t>на природном газе</t>
  </si>
  <si>
    <t>на угле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</si>
  <si>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</si>
  <si>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</si>
  <si>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</si>
  <si>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</si>
  <si>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</si>
  <si>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на электроэнергии</t>
  </si>
  <si>
    <t>с/нужды</t>
  </si>
  <si>
    <t>%</t>
  </si>
  <si>
    <t>Отпуск в сеть</t>
  </si>
  <si>
    <t>Потери в сетях</t>
  </si>
  <si>
    <t>Полезный отпуск</t>
  </si>
  <si>
    <t xml:space="preserve">Топливо </t>
  </si>
  <si>
    <t>-</t>
  </si>
  <si>
    <t>Природный газ</t>
  </si>
  <si>
    <t>Удельная норма расхода условного топлива</t>
  </si>
  <si>
    <t>кг у.т./Гкал</t>
  </si>
  <si>
    <t>Топлив. коэффициент</t>
  </si>
  <si>
    <t>Расход натурального топлива</t>
  </si>
  <si>
    <t>тыс. м3</t>
  </si>
  <si>
    <t>Цена топлива</t>
  </si>
  <si>
    <t>руб/тыс.м3</t>
  </si>
  <si>
    <t>в т.ч. тариф на трансп-ку</t>
  </si>
  <si>
    <t>Уголь</t>
  </si>
  <si>
    <t>тн</t>
  </si>
  <si>
    <t>руб/тн</t>
  </si>
  <si>
    <t>Мазут</t>
  </si>
  <si>
    <t>Дизельное топливо</t>
  </si>
  <si>
    <t>Дрова</t>
  </si>
  <si>
    <t>Печное топливо</t>
  </si>
  <si>
    <t>Нефть</t>
  </si>
  <si>
    <t>Электроэнергия</t>
  </si>
  <si>
    <t>Удельная норма расхода эл.энергии</t>
  </si>
  <si>
    <t>тыс.кВт/ч</t>
  </si>
  <si>
    <t>НН (0,4 кВ и ниже)</t>
  </si>
  <si>
    <t>x</t>
  </si>
  <si>
    <t>СН 2 (1 - 20 кВ)</t>
  </si>
  <si>
    <t>СН 1 (35 кВ)</t>
  </si>
  <si>
    <t>ВН  (110 кВ и выше)</t>
  </si>
  <si>
    <t>В том числе:</t>
  </si>
  <si>
    <t>Расход эл.энергии</t>
  </si>
  <si>
    <t>Цена эл.энергии</t>
  </si>
  <si>
    <t>руб/кВт/ч</t>
  </si>
  <si>
    <t>Число часов использования мощности</t>
  </si>
  <si>
    <t>часы</t>
  </si>
  <si>
    <t>Ставка за мощность</t>
  </si>
  <si>
    <t>руб/кВт/мес.</t>
  </si>
  <si>
    <t>х</t>
  </si>
  <si>
    <t>Среднемесячный объем мощности</t>
  </si>
  <si>
    <t>тыс. кВт</t>
  </si>
  <si>
    <t>Вода</t>
  </si>
  <si>
    <t>Удельная норма расхода воды</t>
  </si>
  <si>
    <t>м3/Гкал</t>
  </si>
  <si>
    <t>Расход воды</t>
  </si>
  <si>
    <t>тыс.м3</t>
  </si>
  <si>
    <t>Цена воды</t>
  </si>
  <si>
    <t>руб/м3</t>
  </si>
  <si>
    <t>Затраты</t>
  </si>
  <si>
    <t>Топливо, в т.ч.</t>
  </si>
  <si>
    <t>Тыс.руб</t>
  </si>
  <si>
    <t>природный газ</t>
  </si>
  <si>
    <t>уголь</t>
  </si>
  <si>
    <t>мазут</t>
  </si>
  <si>
    <t>дизельное топливо</t>
  </si>
  <si>
    <t>дрова</t>
  </si>
  <si>
    <t>печное топливо</t>
  </si>
  <si>
    <t>нефть</t>
  </si>
  <si>
    <t>НН</t>
  </si>
  <si>
    <t>СН 2</t>
  </si>
  <si>
    <t>СН 1</t>
  </si>
  <si>
    <t>ВН</t>
  </si>
  <si>
    <t>Материалы</t>
  </si>
  <si>
    <t>Затраты на оплату труда</t>
  </si>
  <si>
    <t>Средняя зарплата ОПР</t>
  </si>
  <si>
    <t>руб./чел.</t>
  </si>
  <si>
    <t>Численность</t>
  </si>
  <si>
    <t>чел.</t>
  </si>
  <si>
    <t>Амортизация</t>
  </si>
  <si>
    <t>Затраты производст. характера, в т.ч.:</t>
  </si>
  <si>
    <t>сод. оборуд.</t>
  </si>
  <si>
    <t>затраты на ремонт</t>
  </si>
  <si>
    <t>сод. транспорта</t>
  </si>
  <si>
    <t>Цеховые расходы,         в т.ч.:</t>
  </si>
  <si>
    <t>оплата труда</t>
  </si>
  <si>
    <t xml:space="preserve">Средняя зарплата </t>
  </si>
  <si>
    <t>другие расходы</t>
  </si>
  <si>
    <t>Общехозяйств. расходы, в т.ч.:</t>
  </si>
  <si>
    <t>Прочие расходы, в т.ч.</t>
  </si>
  <si>
    <t>ср-ва на страхование</t>
  </si>
  <si>
    <t>арендная плата</t>
  </si>
  <si>
    <t>охрана труда</t>
  </si>
  <si>
    <t>Налоги и сборы, в т.ч.</t>
  </si>
  <si>
    <t>налог на землю</t>
  </si>
  <si>
    <t>плата за экологию</t>
  </si>
  <si>
    <t>налог на имущество</t>
  </si>
  <si>
    <t>Затраты на покупную тепловую энергию</t>
  </si>
  <si>
    <t>Итого затрат:</t>
  </si>
  <si>
    <t xml:space="preserve">Себестоимость      </t>
  </si>
  <si>
    <t>руб./Гкал</t>
  </si>
  <si>
    <t>Рентабельность</t>
  </si>
  <si>
    <t>Прибыль, в т.ч.</t>
  </si>
  <si>
    <t>Тыс.руб.</t>
  </si>
  <si>
    <t>на развитие производства (инвестиционные и производственные программы)</t>
  </si>
  <si>
    <t xml:space="preserve">на социальное развитие </t>
  </si>
  <si>
    <t>на поощрение</t>
  </si>
  <si>
    <t>на прочие цели, в т.ч.</t>
  </si>
  <si>
    <t>капитальный ремонт</t>
  </si>
  <si>
    <t>налоги и сборы, в т.ч.</t>
  </si>
  <si>
    <t>н-г на прибыль</t>
  </si>
  <si>
    <t>Услуги сл. Заказчика</t>
  </si>
  <si>
    <t>Выпадающие доходы</t>
  </si>
  <si>
    <t>Необходимая валовая выручка (НВВ)</t>
  </si>
  <si>
    <t>Среднеотпускной тариф</t>
  </si>
  <si>
    <t>Группы потребителей</t>
  </si>
  <si>
    <t>Вариант ЕТО на 2012 год, руб/Гкал</t>
  </si>
  <si>
    <t>Вариант адм. на 2012 год,          руб./Гкал</t>
  </si>
  <si>
    <t>Рост,                              %</t>
  </si>
  <si>
    <t>С 01.07.                  2012 г.</t>
  </si>
  <si>
    <t>С 01.09.    2012 г.</t>
  </si>
  <si>
    <t>Рост к 07.12,         %</t>
  </si>
  <si>
    <t>Бюджетные организации, в т.ч.</t>
  </si>
  <si>
    <t>федеральный бюджет</t>
  </si>
  <si>
    <t>областной бюджет</t>
  </si>
  <si>
    <t>местный бюджет</t>
  </si>
  <si>
    <t>2.1.</t>
  </si>
  <si>
    <t xml:space="preserve">Население </t>
  </si>
  <si>
    <t>многоквартирный жилой фонд</t>
  </si>
  <si>
    <t>частный сектор</t>
  </si>
  <si>
    <t>2.2.</t>
  </si>
  <si>
    <t>Организации-перепродавцы</t>
  </si>
  <si>
    <t>2.3.</t>
  </si>
  <si>
    <t xml:space="preserve">Прочие потребители </t>
  </si>
  <si>
    <t>Собственное потребление</t>
  </si>
  <si>
    <t>Итого</t>
  </si>
  <si>
    <t xml:space="preserve">Первый заместитель председателя комитета                                                                            </t>
  </si>
  <si>
    <t xml:space="preserve">С.В. Терещук </t>
  </si>
  <si>
    <t xml:space="preserve">Начальник экспертного отдела                                                                                                    </t>
  </si>
  <si>
    <t xml:space="preserve">Г.В. Юдина </t>
  </si>
  <si>
    <t>Консультант</t>
  </si>
  <si>
    <t>Полезный отпуск на отопление по нормативу Гкал (гр.4*гр.5)</t>
  </si>
  <si>
    <t>Годовой норматив на отопле-ние, Гкал/кв.м</t>
  </si>
  <si>
    <t>Отапливаемая площадь по нормати-ву, кв.м.</t>
  </si>
  <si>
    <t>Полезный отпуск на отопление по счетчикам, Гкал</t>
  </si>
  <si>
    <t>Полез-ный отпуск на ГВС по нормати-ву             Гкал (гр.8*гр.9*гр.10)</t>
  </si>
  <si>
    <t>Норма-тив на ГВС, Гкал на чел. в месяц</t>
  </si>
  <si>
    <t>Количест-во месяцев предоставления услуги ГВС</t>
  </si>
  <si>
    <t>Количество человек оплачи-вающих ГВС по норма-тиву, чел.</t>
  </si>
  <si>
    <t>Полезный отпуск на ГВС по счетчикам, Гкал</t>
  </si>
  <si>
    <t>Руководитель организации</t>
  </si>
  <si>
    <t>Согласовано органом местного</t>
  </si>
  <si>
    <t>самоуправления:</t>
  </si>
  <si>
    <t>Факт               2011 г.</t>
  </si>
  <si>
    <t>Общий объем эл/энергии</t>
  </si>
  <si>
    <t>Отчисления на социальные нужды</t>
  </si>
  <si>
    <t>Расчет полезного отпуска тепловой энергии на 2013 год</t>
  </si>
  <si>
    <t xml:space="preserve">Полезный отпуск  на 2013 г., Гкал </t>
  </si>
  <si>
    <t>По данным предприятия</t>
  </si>
  <si>
    <t>Доходы                     2013 г.,                              тыс. руб.</t>
  </si>
  <si>
    <t>Организации-п/продавцы</t>
  </si>
  <si>
    <t>многоквартирный ж/фонд</t>
  </si>
  <si>
    <t>Покупка т/энергии</t>
  </si>
  <si>
    <t>с 01.01.            2012 г.</t>
  </si>
  <si>
    <t xml:space="preserve"> с 01.09.      2012 г.</t>
  </si>
  <si>
    <t>Полезный отпуск,                                                       Гкал</t>
  </si>
  <si>
    <t xml:space="preserve"> Регулируемый период 2013 г.</t>
  </si>
  <si>
    <t>2011 г.</t>
  </si>
  <si>
    <t xml:space="preserve">Тариф  </t>
  </si>
  <si>
    <t>2012 г.</t>
  </si>
  <si>
    <t xml:space="preserve">Факт             1                    квартал  </t>
  </si>
  <si>
    <t xml:space="preserve">утверждено </t>
  </si>
  <si>
    <t>факт</t>
  </si>
  <si>
    <t>Полезный отпуск,  Гкал</t>
  </si>
  <si>
    <t>Действ. тарифы                 руб/Гкал</t>
  </si>
  <si>
    <t>2013 г.</t>
  </si>
  <si>
    <t>Действующий тариф,                   с 01.01.</t>
  </si>
  <si>
    <t>Тариф, руб./Гкал</t>
  </si>
  <si>
    <t>утвержденный                     с 01.01.           2012 г.</t>
  </si>
  <si>
    <t>фактический  за 1 квартала 2012 г.</t>
  </si>
  <si>
    <t>ожида        емый             2012 г.</t>
  </si>
  <si>
    <t>утвержденный                    с 01.09.           2012 г.</t>
  </si>
  <si>
    <t>Действ. тарифы                                                             руб./Гкал</t>
  </si>
  <si>
    <t>Убыток (прибыль)</t>
  </si>
  <si>
    <t xml:space="preserve">Плановые убытки, обусловленные снижением тарифа для населения </t>
  </si>
  <si>
    <t>Объем тепловой энергии, теплоносителя по договору оказания услуг по передаче тепловой энергии, заключенного с теплосетевой организацией (по данным теплосетевой организации), основание-п.6 ст.13 и п. 3 ст. 17 №190-ФЗ</t>
  </si>
  <si>
    <t>Итого полезный отпуск                                  на 2013 год,                           Гкал (гр.3+гр.6+гр.7+ гр.11)</t>
  </si>
  <si>
    <t>Т.М. Калмыкова</t>
  </si>
  <si>
    <t>Доходы  плановые,  тыс. руб.</t>
  </si>
  <si>
    <t>Доходы  фактические,  тыс. руб.</t>
  </si>
  <si>
    <t>протяженность сетей - 0 км</t>
  </si>
  <si>
    <t xml:space="preserve">Тарифы по группам потребителей  (НДС не предусмотрен) </t>
  </si>
  <si>
    <t>Основные показатели деятельности МПУТ ( котельная Мира № 6) по отпуску тепловой энергии потребителям Кыштымского городского округа    на 2013 год</t>
  </si>
  <si>
    <t>ИНН 7413000541</t>
  </si>
  <si>
    <t>КПП 741301001</t>
  </si>
  <si>
    <t xml:space="preserve">Расчет полезного отпуска тепловой энергии на 2013 год котельной Мира № 6 </t>
  </si>
  <si>
    <t>Резервное топливо (дизельное)</t>
  </si>
  <si>
    <t>Нормативный запас топлива</t>
  </si>
  <si>
    <t>Цена</t>
  </si>
  <si>
    <t>Руб/тн</t>
  </si>
  <si>
    <t>Действующий тариф,               с 01.09.</t>
  </si>
  <si>
    <t xml:space="preserve">Ожидаемое </t>
  </si>
  <si>
    <t>количество котельных - ед 1</t>
  </si>
  <si>
    <t>Указать тарифы по видам транспортировки отдельно (ж/д-, автоперевозки)</t>
  </si>
  <si>
    <t>режимно нал испыт</t>
  </si>
  <si>
    <t xml:space="preserve">Полезный отпуск </t>
  </si>
  <si>
    <t>К утверждению ЕТО,             руб/Гкал</t>
  </si>
  <si>
    <t>Тариф,             руб/Гкал</t>
  </si>
  <si>
    <t xml:space="preserve">количество котельных -1 ед </t>
  </si>
  <si>
    <t>Основные показатели деятельности МПУТ по отпуску тепловой энергии потребителям Кыштымского городского округа на 2013 год (котельная ул. Мира, 6)</t>
  </si>
  <si>
    <t>1,18*3613,56*1,12</t>
  </si>
  <si>
    <t>20 лет</t>
  </si>
  <si>
    <t>Действ. тарифы                    с 01.09.,                                                          руб./Гкал</t>
  </si>
  <si>
    <t>Основные показатели деятельности МПУТ по отпуску тепловой энергии потребителям Кыштымского городского округа на 2013 год ( ул. Мира, 6)</t>
  </si>
  <si>
    <t>Основные показатели деятельности МПУТ по отпуску тепловой энергии потребителям Кыштымского городского округа на 2013 год (ул. Мира, 6)</t>
  </si>
  <si>
    <t>1,18*3,19538*1,12</t>
  </si>
  <si>
    <t>(9,79+0,098*21,74)*1,18</t>
  </si>
  <si>
    <t>К утверждению ЕТО, руб/Гкал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</si>
</sst>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"/>
      <family val="0"/>
    </font>
    <font>
      <sz val="7"/>
      <name val="Arial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4" fontId="6" fillId="22" borderId="10" xfId="0" applyNumberFormat="1" applyFont="1" applyFill="1" applyBorder="1" applyAlignment="1" applyProtection="1">
      <alignment horizontal="center" vertical="center"/>
      <protection/>
    </xf>
    <xf numFmtId="2" fontId="6" fillId="24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2" fontId="2" fillId="24" borderId="10" xfId="0" applyNumberFormat="1" applyFont="1" applyFill="1" applyBorder="1" applyAlignment="1" applyProtection="1">
      <alignment horizontal="center" vertical="center"/>
      <protection locked="0"/>
    </xf>
    <xf numFmtId="4" fontId="2" fillId="22" borderId="10" xfId="54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2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6" fillId="22" borderId="10" xfId="0" applyNumberFormat="1" applyFont="1" applyFill="1" applyBorder="1" applyAlignment="1" applyProtection="1">
      <alignment horizontal="center" vertical="center"/>
      <protection locked="0"/>
    </xf>
    <xf numFmtId="4" fontId="6" fillId="22" borderId="10" xfId="54" applyNumberFormat="1" applyFont="1" applyFill="1" applyBorder="1" applyAlignment="1" applyProtection="1">
      <alignment horizontal="center" vertical="center"/>
      <protection locked="0"/>
    </xf>
    <xf numFmtId="4" fontId="6" fillId="22" borderId="10" xfId="0" applyNumberFormat="1" applyFont="1" applyFill="1" applyBorder="1" applyAlignment="1">
      <alignment horizontal="center" vertical="center" wrapText="1"/>
    </xf>
    <xf numFmtId="181" fontId="2" fillId="22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4" fontId="2" fillId="2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0" xfId="0" applyNumberFormat="1" applyFont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81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2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vertical="center"/>
      <protection/>
    </xf>
    <xf numFmtId="2" fontId="6" fillId="2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6" fillId="22" borderId="10" xfId="0" applyNumberFormat="1" applyFont="1" applyFill="1" applyBorder="1" applyAlignment="1">
      <alignment horizontal="center" vertical="center" wrapText="1"/>
    </xf>
    <xf numFmtId="181" fontId="6" fillId="2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left" vertical="center" wrapText="1"/>
      <protection/>
    </xf>
    <xf numFmtId="2" fontId="6" fillId="4" borderId="10" xfId="0" applyNumberFormat="1" applyFont="1" applyFill="1" applyBorder="1" applyAlignment="1" applyProtection="1">
      <alignment horizontal="center" vertical="center"/>
      <protection locked="0"/>
    </xf>
    <xf numFmtId="180" fontId="6" fillId="4" borderId="10" xfId="0" applyNumberFormat="1" applyFont="1" applyFill="1" applyBorder="1" applyAlignment="1">
      <alignment horizontal="center" vertical="center" wrapText="1"/>
    </xf>
    <xf numFmtId="181" fontId="6" fillId="4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/>
    </xf>
    <xf numFmtId="0" fontId="9" fillId="0" borderId="10" xfId="55" applyFont="1" applyFill="1" applyBorder="1" applyAlignment="1" applyProtection="1">
      <alignment horizontal="right" wrapText="1"/>
      <protection/>
    </xf>
    <xf numFmtId="0" fontId="14" fillId="0" borderId="10" xfId="55" applyFont="1" applyFill="1" applyBorder="1" applyAlignment="1" applyProtection="1">
      <alignment horizont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/>
      <protection locked="0"/>
    </xf>
    <xf numFmtId="0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2" borderId="1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2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left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16" fontId="9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181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24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/>
    </xf>
    <xf numFmtId="181" fontId="6" fillId="4" borderId="10" xfId="0" applyNumberFormat="1" applyFont="1" applyFill="1" applyBorder="1" applyAlignment="1" applyProtection="1">
      <alignment horizontal="center" vertical="center" wrapText="1"/>
      <protection/>
    </xf>
    <xf numFmtId="2" fontId="2" fillId="4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" fontId="9" fillId="24" borderId="0" xfId="0" applyNumberFormat="1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4" borderId="11" xfId="0" applyNumberFormat="1" applyFont="1" applyFill="1" applyBorder="1" applyAlignment="1" applyProtection="1">
      <alignment horizontal="center" vertical="center" wrapText="1"/>
      <protection/>
    </xf>
    <xf numFmtId="1" fontId="9" fillId="2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2" fillId="24" borderId="10" xfId="0" applyNumberFormat="1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horizontal="right" wrapText="1"/>
      <protection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2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 applyProtection="1">
      <alignment horizontal="center" vertical="center" wrapText="1"/>
      <protection/>
    </xf>
    <xf numFmtId="2" fontId="2" fillId="25" borderId="10" xfId="0" applyNumberFormat="1" applyFont="1" applyFill="1" applyBorder="1" applyAlignment="1" applyProtection="1">
      <alignment horizontal="center" vertical="center"/>
      <protection locked="0"/>
    </xf>
    <xf numFmtId="2" fontId="2" fillId="25" borderId="10" xfId="0" applyNumberFormat="1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9" fillId="0" borderId="10" xfId="55" applyFont="1" applyFill="1" applyBorder="1" applyAlignment="1" applyProtection="1">
      <alignment wrapText="1"/>
      <protection/>
    </xf>
    <xf numFmtId="0" fontId="9" fillId="24" borderId="11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left" vertical="center" wrapText="1"/>
    </xf>
    <xf numFmtId="2" fontId="5" fillId="24" borderId="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vertical="center"/>
      <protection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vertical="center"/>
      <protection/>
    </xf>
    <xf numFmtId="0" fontId="9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 applyProtection="1">
      <alignment horizontal="left" vertical="center" wrapText="1"/>
      <protection/>
    </xf>
    <xf numFmtId="0" fontId="2" fillId="26" borderId="10" xfId="0" applyFont="1" applyFill="1" applyBorder="1" applyAlignment="1" applyProtection="1">
      <alignment vertical="center"/>
      <protection/>
    </xf>
    <xf numFmtId="181" fontId="2" fillId="26" borderId="10" xfId="0" applyNumberFormat="1" applyFont="1" applyFill="1" applyBorder="1" applyAlignment="1" applyProtection="1">
      <alignment horizontal="center" vertical="center"/>
      <protection/>
    </xf>
    <xf numFmtId="181" fontId="2" fillId="26" borderId="10" xfId="0" applyNumberFormat="1" applyFont="1" applyFill="1" applyBorder="1" applyAlignment="1">
      <alignment horizontal="center" vertical="center" wrapText="1"/>
    </xf>
    <xf numFmtId="180" fontId="6" fillId="26" borderId="10" xfId="0" applyNumberFormat="1" applyFont="1" applyFill="1" applyBorder="1" applyAlignment="1">
      <alignment horizontal="center" vertical="center" wrapText="1"/>
    </xf>
    <xf numFmtId="181" fontId="6" fillId="26" borderId="10" xfId="0" applyNumberFormat="1" applyFont="1" applyFill="1" applyBorder="1" applyAlignment="1">
      <alignment horizontal="center" vertical="center" wrapText="1"/>
    </xf>
    <xf numFmtId="0" fontId="9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6" borderId="10" xfId="0" applyFont="1" applyFill="1" applyBorder="1" applyAlignment="1">
      <alignment horizontal="center" vertical="center"/>
    </xf>
    <xf numFmtId="181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vertical="center"/>
      <protection/>
    </xf>
    <xf numFmtId="4" fontId="6" fillId="26" borderId="10" xfId="0" applyNumberFormat="1" applyFont="1" applyFill="1" applyBorder="1" applyAlignment="1" applyProtection="1">
      <alignment horizontal="center" vertical="center"/>
      <protection locked="0"/>
    </xf>
    <xf numFmtId="4" fontId="6" fillId="26" borderId="10" xfId="0" applyNumberFormat="1" applyFont="1" applyFill="1" applyBorder="1" applyAlignment="1">
      <alignment horizontal="center" vertical="center" wrapText="1"/>
    </xf>
    <xf numFmtId="0" fontId="5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6" fillId="26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 applyProtection="1">
      <alignment horizontal="center" vertical="center" wrapText="1"/>
      <protection/>
    </xf>
    <xf numFmtId="4" fontId="2" fillId="26" borderId="10" xfId="0" applyNumberFormat="1" applyFont="1" applyFill="1" applyBorder="1" applyAlignment="1" applyProtection="1">
      <alignment horizontal="center" vertical="center" wrapText="1"/>
      <protection/>
    </xf>
    <xf numFmtId="2" fontId="6" fillId="26" borderId="10" xfId="0" applyNumberFormat="1" applyFont="1" applyFill="1" applyBorder="1" applyAlignment="1">
      <alignment horizontal="center" vertical="center" wrapText="1"/>
    </xf>
    <xf numFmtId="2" fontId="6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 applyProtection="1">
      <alignment horizontal="left" vertical="center" wrapText="1"/>
      <protection/>
    </xf>
    <xf numFmtId="0" fontId="2" fillId="26" borderId="10" xfId="0" applyFont="1" applyFill="1" applyBorder="1" applyAlignment="1" applyProtection="1">
      <alignment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vertical="center" wrapText="1"/>
      <protection/>
    </xf>
    <xf numFmtId="4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24" borderId="10" xfId="0" applyNumberFormat="1" applyFont="1" applyFill="1" applyBorder="1" applyAlignment="1" applyProtection="1">
      <alignment horizontal="center" vertical="center" wrapText="1"/>
      <protection/>
    </xf>
    <xf numFmtId="2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9" fillId="26" borderId="10" xfId="0" applyFont="1" applyFill="1" applyBorder="1" applyAlignment="1" applyProtection="1">
      <alignment horizontal="left" vertical="center" wrapText="1"/>
      <protection/>
    </xf>
    <xf numFmtId="2" fontId="2" fillId="26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180" fontId="2" fillId="26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 applyProtection="1">
      <alignment horizontal="left" vertical="center" wrapText="1"/>
      <protection/>
    </xf>
    <xf numFmtId="0" fontId="2" fillId="22" borderId="10" xfId="0" applyFont="1" applyFill="1" applyBorder="1" applyAlignment="1" applyProtection="1">
      <alignment vertical="center"/>
      <protection/>
    </xf>
    <xf numFmtId="181" fontId="6" fillId="22" borderId="10" xfId="0" applyNumberFormat="1" applyFont="1" applyFill="1" applyBorder="1" applyAlignment="1" applyProtection="1">
      <alignment horizontal="center" vertical="center"/>
      <protection/>
    </xf>
    <xf numFmtId="180" fontId="6" fillId="22" borderId="10" xfId="0" applyNumberFormat="1" applyFont="1" applyFill="1" applyBorder="1" applyAlignment="1">
      <alignment horizontal="center" vertical="center" wrapText="1"/>
    </xf>
    <xf numFmtId="2" fontId="1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vertical="center" wrapText="1"/>
      <protection/>
    </xf>
    <xf numFmtId="4" fontId="6" fillId="22" borderId="10" xfId="0" applyNumberFormat="1" applyFont="1" applyFill="1" applyBorder="1" applyAlignment="1" applyProtection="1">
      <alignment horizontal="center" vertical="center" wrapText="1"/>
      <protection/>
    </xf>
    <xf numFmtId="2" fontId="13" fillId="22" borderId="10" xfId="0" applyNumberFormat="1" applyFont="1" applyFill="1" applyBorder="1" applyAlignment="1">
      <alignment horizontal="center" vertical="center"/>
    </xf>
    <xf numFmtId="0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2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6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54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4" borderId="10" xfId="54" applyNumberFormat="1" applyFont="1" applyFill="1" applyBorder="1" applyAlignment="1" applyProtection="1">
      <alignment horizontal="center" vertical="center" wrapText="1"/>
      <protection/>
    </xf>
    <xf numFmtId="4" fontId="2" fillId="24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4" borderId="10" xfId="0" applyNumberFormat="1" applyFont="1" applyFill="1" applyBorder="1" applyAlignment="1" applyProtection="1">
      <alignment horizontal="center" vertical="center" wrapText="1"/>
      <protection/>
    </xf>
    <xf numFmtId="4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4" borderId="10" xfId="0" applyNumberFormat="1" applyFont="1" applyFill="1" applyBorder="1" applyAlignment="1" applyProtection="1">
      <alignment horizontal="center" vertical="center" wrapText="1"/>
      <protection/>
    </xf>
    <xf numFmtId="2" fontId="6" fillId="4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181" fontId="9" fillId="27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vertical="center"/>
      <protection locked="0"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181" fontId="2" fillId="27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6" fillId="24" borderId="10" xfId="0" applyFont="1" applyFill="1" applyBorder="1" applyAlignment="1">
      <alignment horizontal="left" vertical="center" wrapText="1"/>
    </xf>
    <xf numFmtId="181" fontId="6" fillId="27" borderId="10" xfId="0" applyNumberFormat="1" applyFont="1" applyFill="1" applyBorder="1" applyAlignment="1" applyProtection="1">
      <alignment horizontal="center" vertical="center"/>
      <protection/>
    </xf>
    <xf numFmtId="181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4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182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6" borderId="10" xfId="0" applyNumberFormat="1" applyFont="1" applyFill="1" applyBorder="1" applyAlignment="1" applyProtection="1">
      <alignment horizontal="center" vertical="center" wrapText="1"/>
      <protection hidden="1"/>
    </xf>
    <xf numFmtId="181" fontId="2" fillId="24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6" fillId="26" borderId="10" xfId="0" applyNumberFormat="1" applyFont="1" applyFill="1" applyBorder="1" applyAlignment="1" applyProtection="1">
      <alignment horizontal="center" vertical="center"/>
      <protection locked="0"/>
    </xf>
    <xf numFmtId="181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81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2" borderId="10" xfId="0" applyNumberFormat="1" applyFont="1" applyFill="1" applyBorder="1" applyAlignment="1" applyProtection="1">
      <alignment horizontal="center" vertical="center"/>
      <protection locked="0"/>
    </xf>
    <xf numFmtId="4" fontId="6" fillId="22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22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 wrapText="1"/>
      <protection/>
    </xf>
    <xf numFmtId="1" fontId="23" fillId="4" borderId="10" xfId="0" applyNumberFormat="1" applyFont="1" applyFill="1" applyBorder="1" applyAlignment="1" applyProtection="1">
      <alignment horizontal="center" vertical="center" wrapText="1"/>
      <protection/>
    </xf>
    <xf numFmtId="2" fontId="2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/>
      <protection/>
    </xf>
    <xf numFmtId="2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181" fontId="2" fillId="22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24" borderId="10" xfId="0" applyNumberFormat="1" applyFont="1" applyFill="1" applyBorder="1" applyAlignment="1" applyProtection="1">
      <alignment vertical="center"/>
      <protection locked="0"/>
    </xf>
    <xf numFmtId="3" fontId="6" fillId="22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left" wrapText="1"/>
      <protection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vertical="center"/>
      <protection/>
    </xf>
    <xf numFmtId="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8" borderId="13" xfId="0" applyFont="1" applyFill="1" applyBorder="1" applyAlignment="1">
      <alignment horizontal="center" vertical="center"/>
    </xf>
    <xf numFmtId="0" fontId="28" fillId="26" borderId="10" xfId="0" applyFont="1" applyFill="1" applyBorder="1" applyAlignment="1" applyProtection="1">
      <alignment horizontal="left" vertical="center" wrapText="1"/>
      <protection/>
    </xf>
    <xf numFmtId="0" fontId="3" fillId="28" borderId="13" xfId="0" applyFont="1" applyFill="1" applyBorder="1" applyAlignment="1" applyProtection="1">
      <alignment vertical="center"/>
      <protection/>
    </xf>
    <xf numFmtId="4" fontId="11" fillId="28" borderId="13" xfId="0" applyNumberFormat="1" applyFont="1" applyFill="1" applyBorder="1" applyAlignment="1" applyProtection="1">
      <alignment horizontal="center" vertical="center" wrapText="1"/>
      <protection/>
    </xf>
    <xf numFmtId="181" fontId="11" fillId="28" borderId="13" xfId="0" applyNumberFormat="1" applyFont="1" applyFill="1" applyBorder="1" applyAlignment="1">
      <alignment horizontal="center" vertical="center" wrapText="1"/>
    </xf>
    <xf numFmtId="180" fontId="11" fillId="28" borderId="13" xfId="0" applyNumberFormat="1" applyFont="1" applyFill="1" applyBorder="1" applyAlignment="1">
      <alignment horizontal="center" vertical="center" wrapText="1"/>
    </xf>
    <xf numFmtId="181" fontId="11" fillId="28" borderId="13" xfId="0" applyNumberFormat="1" applyFont="1" applyFill="1" applyBorder="1" applyAlignment="1" applyProtection="1">
      <alignment horizontal="center" vertical="center"/>
      <protection/>
    </xf>
    <xf numFmtId="2" fontId="7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24" borderId="10" xfId="0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vertical="center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2" borderId="10" xfId="0" applyNumberFormat="1" applyFont="1" applyFill="1" applyBorder="1" applyAlignment="1" applyProtection="1">
      <alignment horizontal="center" vertical="center" wrapText="1"/>
      <protection/>
    </xf>
    <xf numFmtId="4" fontId="2" fillId="6" borderId="10" xfId="0" applyNumberFormat="1" applyFont="1" applyFill="1" applyBorder="1" applyAlignment="1" applyProtection="1">
      <alignment horizontal="center" vertical="center" wrapText="1"/>
      <protection/>
    </xf>
    <xf numFmtId="4" fontId="6" fillId="6" borderId="10" xfId="0" applyNumberFormat="1" applyFont="1" applyFill="1" applyBorder="1" applyAlignment="1" applyProtection="1">
      <alignment horizontal="center" vertical="center" wrapText="1"/>
      <protection/>
    </xf>
    <xf numFmtId="4" fontId="11" fillId="28" borderId="13" xfId="0" applyNumberFormat="1" applyFont="1" applyFill="1" applyBorder="1" applyAlignment="1" applyProtection="1">
      <alignment horizontal="center" vertical="center" wrapText="1"/>
      <protection hidden="1"/>
    </xf>
    <xf numFmtId="4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22" borderId="10" xfId="0" applyNumberFormat="1" applyFont="1" applyFill="1" applyBorder="1" applyAlignment="1" applyProtection="1">
      <alignment horizontal="center" vertical="center" wrapText="1"/>
      <protection/>
    </xf>
    <xf numFmtId="4" fontId="6" fillId="4" borderId="10" xfId="53" applyNumberFormat="1" applyFont="1" applyFill="1" applyBorder="1" applyAlignment="1" applyProtection="1">
      <alignment horizontal="center" vertical="center" wrapText="1"/>
      <protection/>
    </xf>
    <xf numFmtId="4" fontId="2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53" applyNumberFormat="1" applyFont="1" applyFill="1" applyBorder="1" applyAlignment="1" applyProtection="1">
      <alignment horizontal="center" vertical="center" wrapText="1"/>
      <protection/>
    </xf>
    <xf numFmtId="4" fontId="6" fillId="4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182" fontId="2" fillId="4" borderId="10" xfId="53" applyNumberFormat="1" applyFont="1" applyFill="1" applyBorder="1" applyAlignment="1" applyProtection="1">
      <alignment horizontal="center" vertical="center" wrapText="1"/>
      <protection locked="0"/>
    </xf>
    <xf numFmtId="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26" borderId="10" xfId="53" applyNumberFormat="1" applyFont="1" applyFill="1" applyBorder="1" applyAlignment="1" applyProtection="1">
      <alignment horizontal="center" vertical="center" wrapText="1"/>
      <protection/>
    </xf>
    <xf numFmtId="2" fontId="1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28" borderId="13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6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2" fontId="9" fillId="24" borderId="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22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4" borderId="12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2" fontId="11" fillId="24" borderId="10" xfId="0" applyNumberFormat="1" applyFont="1" applyFill="1" applyBorder="1" applyAlignment="1" applyProtection="1">
      <alignment vertical="center"/>
      <protection locked="0"/>
    </xf>
    <xf numFmtId="182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10" xfId="0" applyNumberFormat="1" applyFont="1" applyFill="1" applyBorder="1" applyAlignment="1" applyProtection="1">
      <alignment horizontal="center" vertical="center" wrapText="1"/>
      <protection hidden="1"/>
    </xf>
    <xf numFmtId="182" fontId="6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26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vertical="center"/>
      <protection/>
    </xf>
    <xf numFmtId="2" fontId="6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8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1" fontId="23" fillId="4" borderId="11" xfId="0" applyNumberFormat="1" applyFont="1" applyFill="1" applyBorder="1" applyAlignment="1" applyProtection="1">
      <alignment horizontal="center" vertical="center" wrapText="1"/>
      <protection/>
    </xf>
    <xf numFmtId="1" fontId="23" fillId="4" borderId="20" xfId="0" applyNumberFormat="1" applyFont="1" applyFill="1" applyBorder="1" applyAlignment="1" applyProtection="1">
      <alignment horizontal="center" vertical="center" wrapText="1"/>
      <protection/>
    </xf>
    <xf numFmtId="1" fontId="23" fillId="24" borderId="11" xfId="0" applyNumberFormat="1" applyFont="1" applyFill="1" applyBorder="1" applyAlignment="1" applyProtection="1">
      <alignment horizontal="center" vertical="center" wrapText="1"/>
      <protection/>
    </xf>
    <xf numFmtId="1" fontId="23" fillId="24" borderId="22" xfId="0" applyNumberFormat="1" applyFont="1" applyFill="1" applyBorder="1" applyAlignment="1" applyProtection="1">
      <alignment horizontal="center" vertical="center" wrapText="1"/>
      <protection/>
    </xf>
    <xf numFmtId="1" fontId="23" fillId="24" borderId="2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25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center" vertical="center"/>
      <protection/>
    </xf>
    <xf numFmtId="0" fontId="6" fillId="4" borderId="12" xfId="0" applyFont="1" applyFill="1" applyBorder="1" applyAlignment="1" applyProtection="1">
      <alignment horizontal="center" vertical="center" wrapText="1"/>
      <protection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left" wrapText="1"/>
      <protection/>
    </xf>
    <xf numFmtId="0" fontId="9" fillId="0" borderId="10" xfId="55" applyFont="1" applyFill="1" applyBorder="1" applyAlignment="1" applyProtection="1">
      <alignment horizontal="right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25" xfId="0" applyFont="1" applyFill="1" applyBorder="1" applyAlignment="1" applyProtection="1">
      <alignment horizontal="center" vertical="center" wrapText="1"/>
      <protection/>
    </xf>
    <xf numFmtId="0" fontId="6" fillId="24" borderId="26" xfId="0" applyFont="1" applyFill="1" applyBorder="1" applyAlignment="1" applyProtection="1">
      <alignment horizontal="center" vertical="center" wrapText="1"/>
      <protection/>
    </xf>
    <xf numFmtId="2" fontId="6" fillId="4" borderId="11" xfId="0" applyNumberFormat="1" applyFont="1" applyFill="1" applyBorder="1" applyAlignment="1" applyProtection="1">
      <alignment horizontal="center" vertical="center" wrapText="1"/>
      <protection/>
    </xf>
    <xf numFmtId="2" fontId="6" fillId="4" borderId="20" xfId="0" applyNumberFormat="1" applyFont="1" applyFill="1" applyBorder="1" applyAlignment="1" applyProtection="1">
      <alignment horizontal="center" vertical="center" wrapText="1"/>
      <protection/>
    </xf>
    <xf numFmtId="2" fontId="6" fillId="24" borderId="11" xfId="0" applyNumberFormat="1" applyFont="1" applyFill="1" applyBorder="1" applyAlignment="1" applyProtection="1">
      <alignment horizontal="center" vertical="center" wrapText="1"/>
      <protection/>
    </xf>
    <xf numFmtId="2" fontId="6" fillId="24" borderId="22" xfId="0" applyNumberFormat="1" applyFont="1" applyFill="1" applyBorder="1" applyAlignment="1" applyProtection="1">
      <alignment horizontal="center" vertical="center" wrapText="1"/>
      <protection/>
    </xf>
    <xf numFmtId="2" fontId="6" fillId="24" borderId="20" xfId="0" applyNumberFormat="1" applyFont="1" applyFill="1" applyBorder="1" applyAlignment="1" applyProtection="1">
      <alignment horizontal="center" vertical="center" wrapText="1"/>
      <protection/>
    </xf>
    <xf numFmtId="185" fontId="6" fillId="4" borderId="11" xfId="0" applyNumberFormat="1" applyFont="1" applyFill="1" applyBorder="1" applyAlignment="1" applyProtection="1">
      <alignment horizontal="center" vertical="center" wrapText="1"/>
      <protection/>
    </xf>
    <xf numFmtId="185" fontId="6" fillId="4" borderId="20" xfId="0" applyNumberFormat="1" applyFont="1" applyFill="1" applyBorder="1" applyAlignment="1" applyProtection="1">
      <alignment horizontal="center" vertical="center" wrapText="1"/>
      <protection/>
    </xf>
    <xf numFmtId="185" fontId="6" fillId="24" borderId="11" xfId="0" applyNumberFormat="1" applyFont="1" applyFill="1" applyBorder="1" applyAlignment="1" applyProtection="1">
      <alignment horizontal="center" vertical="center" wrapText="1"/>
      <protection/>
    </xf>
    <xf numFmtId="185" fontId="6" fillId="24" borderId="22" xfId="0" applyNumberFormat="1" applyFont="1" applyFill="1" applyBorder="1" applyAlignment="1" applyProtection="1">
      <alignment horizontal="center" vertical="center" wrapText="1"/>
      <protection/>
    </xf>
    <xf numFmtId="185" fontId="6" fillId="24" borderId="20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22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0" fontId="17" fillId="24" borderId="0" xfId="0" applyFont="1" applyFill="1" applyBorder="1" applyAlignment="1" applyProtection="1">
      <alignment horizontal="left" vertical="center" wrapText="1"/>
      <protection locked="0"/>
    </xf>
    <xf numFmtId="0" fontId="17" fillId="24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2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2" fontId="6" fillId="25" borderId="10" xfId="0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6" fillId="25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6" fillId="4" borderId="10" xfId="0" applyNumberFormat="1" applyFont="1" applyFill="1" applyBorder="1" applyAlignment="1" applyProtection="1">
      <alignment horizontal="center" vertical="center"/>
      <protection locked="0"/>
    </xf>
    <xf numFmtId="2" fontId="6" fillId="4" borderId="10" xfId="0" applyNumberFormat="1" applyFont="1" applyFill="1" applyBorder="1" applyAlignment="1" applyProtection="1">
      <alignment horizontal="center" vertical="center"/>
      <protection/>
    </xf>
    <xf numFmtId="2" fontId="2" fillId="25" borderId="10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4" borderId="10" xfId="0" applyNumberFormat="1" applyFont="1" applyFill="1" applyBorder="1" applyAlignment="1" applyProtection="1">
      <alignment horizontal="center" vertical="center" wrapText="1"/>
      <protection/>
    </xf>
    <xf numFmtId="2" fontId="6" fillId="4" borderId="11" xfId="0" applyNumberFormat="1" applyFont="1" applyFill="1" applyBorder="1" applyAlignment="1" applyProtection="1">
      <alignment horizontal="center" vertical="center" wrapText="1"/>
      <protection/>
    </xf>
    <xf numFmtId="2" fontId="6" fillId="4" borderId="22" xfId="0" applyNumberFormat="1" applyFont="1" applyFill="1" applyBorder="1" applyAlignment="1" applyProtection="1">
      <alignment horizontal="center" vertical="center" wrapText="1"/>
      <protection/>
    </xf>
    <xf numFmtId="2" fontId="6" fillId="4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22" xfId="0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Обычный_Лист1" xfId="54"/>
    <cellStyle name="Обычный_тарифы на 2002г с 1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6"/>
  <sheetViews>
    <sheetView tabSelected="1" zoomScalePageLayoutView="0" workbookViewId="0" topLeftCell="A147">
      <selection activeCell="I138" sqref="I138"/>
    </sheetView>
  </sheetViews>
  <sheetFormatPr defaultColWidth="9.140625" defaultRowHeight="12.75"/>
  <cols>
    <col min="1" max="1" width="3.7109375" style="0" customWidth="1"/>
    <col min="2" max="2" width="21.7109375" style="119" customWidth="1"/>
    <col min="3" max="3" width="10.00390625" style="138" customWidth="1"/>
    <col min="4" max="4" width="8.421875" style="119" hidden="1" customWidth="1"/>
    <col min="5" max="5" width="9.00390625" style="120" hidden="1" customWidth="1"/>
    <col min="6" max="6" width="8.57421875" style="120" hidden="1" customWidth="1"/>
    <col min="7" max="7" width="9.00390625" style="120" hidden="1" customWidth="1"/>
    <col min="8" max="9" width="11.421875" style="120" customWidth="1"/>
    <col min="10" max="10" width="10.140625" style="120" customWidth="1"/>
    <col min="11" max="11" width="7.140625" style="120" customWidth="1"/>
    <col min="12" max="12" width="10.00390625" style="120" customWidth="1"/>
    <col min="13" max="13" width="6.8515625" style="120" customWidth="1"/>
    <col min="14" max="14" width="8.8515625" style="119" customWidth="1"/>
    <col min="15" max="15" width="7.28125" style="119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9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19" customWidth="1"/>
    <col min="25" max="25" width="11.421875" style="0" customWidth="1"/>
  </cols>
  <sheetData>
    <row r="1" spans="1:23" ht="10.5" customHeight="1">
      <c r="A1" s="431" t="s">
        <v>229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42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</row>
    <row r="3" spans="1:23" ht="17.25" customHeight="1">
      <c r="A3" s="432" t="s">
        <v>209</v>
      </c>
      <c r="B3" s="432"/>
      <c r="C3" s="432"/>
      <c r="D3" s="432"/>
      <c r="E3" s="433" t="s">
        <v>210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</row>
    <row r="4" spans="1:23" ht="17.25" customHeight="1">
      <c r="A4" s="434" t="s">
        <v>0</v>
      </c>
      <c r="B4" s="434" t="s">
        <v>1</v>
      </c>
      <c r="C4" s="435" t="s">
        <v>2</v>
      </c>
      <c r="D4" s="434" t="s">
        <v>183</v>
      </c>
      <c r="E4" s="434"/>
      <c r="F4" s="436" t="s">
        <v>185</v>
      </c>
      <c r="G4" s="436"/>
      <c r="H4" s="436"/>
      <c r="I4" s="436"/>
      <c r="J4" s="436" t="s">
        <v>182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7" t="s">
        <v>3</v>
      </c>
    </row>
    <row r="5" spans="1:23" ht="26.25" customHeight="1">
      <c r="A5" s="434"/>
      <c r="B5" s="434"/>
      <c r="C5" s="435"/>
      <c r="D5" s="434" t="s">
        <v>184</v>
      </c>
      <c r="E5" s="436" t="s">
        <v>169</v>
      </c>
      <c r="F5" s="436" t="s">
        <v>192</v>
      </c>
      <c r="G5" s="434" t="s">
        <v>186</v>
      </c>
      <c r="H5" s="436" t="s">
        <v>4</v>
      </c>
      <c r="I5" s="438" t="s">
        <v>8</v>
      </c>
      <c r="J5" s="436" t="s">
        <v>4</v>
      </c>
      <c r="K5" s="436"/>
      <c r="L5" s="436" t="s">
        <v>8</v>
      </c>
      <c r="M5" s="436"/>
      <c r="N5" s="436" t="s">
        <v>9</v>
      </c>
      <c r="O5" s="434" t="s">
        <v>10</v>
      </c>
      <c r="P5" s="436" t="s">
        <v>5</v>
      </c>
      <c r="Q5" s="436"/>
      <c r="R5" s="436"/>
      <c r="S5" s="436"/>
      <c r="T5" s="436"/>
      <c r="U5" s="436"/>
      <c r="V5" s="436"/>
      <c r="W5" s="437"/>
    </row>
    <row r="6" spans="1:23" ht="33" customHeight="1">
      <c r="A6" s="434"/>
      <c r="B6" s="434"/>
      <c r="C6" s="435"/>
      <c r="D6" s="434"/>
      <c r="E6" s="436"/>
      <c r="F6" s="436"/>
      <c r="G6" s="434"/>
      <c r="H6" s="436"/>
      <c r="I6" s="439"/>
      <c r="J6" s="1" t="s">
        <v>11</v>
      </c>
      <c r="K6" s="2" t="s">
        <v>7</v>
      </c>
      <c r="L6" s="1" t="s">
        <v>11</v>
      </c>
      <c r="M6" s="1" t="s">
        <v>7</v>
      </c>
      <c r="N6" s="436"/>
      <c r="O6" s="434"/>
      <c r="P6" s="1" t="s">
        <v>6</v>
      </c>
      <c r="Q6" s="2" t="s">
        <v>12</v>
      </c>
      <c r="R6" s="1" t="s">
        <v>6</v>
      </c>
      <c r="S6" s="2" t="s">
        <v>13</v>
      </c>
      <c r="T6" s="2" t="s">
        <v>12</v>
      </c>
      <c r="U6" s="1" t="s">
        <v>14</v>
      </c>
      <c r="V6" s="2" t="s">
        <v>10</v>
      </c>
      <c r="W6" s="437"/>
    </row>
    <row r="7" spans="1:23" s="152" customFormat="1" ht="11.25" customHeight="1">
      <c r="A7" s="148">
        <v>1</v>
      </c>
      <c r="B7" s="148">
        <v>2</v>
      </c>
      <c r="C7" s="148">
        <v>3</v>
      </c>
      <c r="D7" s="148">
        <v>4</v>
      </c>
      <c r="E7" s="153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  <c r="L7" s="148">
        <v>12</v>
      </c>
      <c r="M7" s="338">
        <v>13</v>
      </c>
      <c r="N7" s="148">
        <v>14</v>
      </c>
      <c r="O7" s="148">
        <v>15</v>
      </c>
      <c r="P7" s="148">
        <v>16</v>
      </c>
      <c r="Q7" s="148">
        <v>17</v>
      </c>
      <c r="R7" s="148">
        <v>18</v>
      </c>
      <c r="S7" s="148">
        <v>19</v>
      </c>
      <c r="T7" s="148">
        <v>20</v>
      </c>
      <c r="U7" s="148">
        <v>21</v>
      </c>
      <c r="V7" s="148">
        <v>22</v>
      </c>
      <c r="W7" s="148">
        <v>16</v>
      </c>
    </row>
    <row r="8" spans="1:26" ht="16.5" customHeight="1">
      <c r="A8" s="51">
        <v>1</v>
      </c>
      <c r="B8" s="52" t="s">
        <v>15</v>
      </c>
      <c r="C8" s="163" t="s">
        <v>16</v>
      </c>
      <c r="D8" s="216">
        <f>D9+D10+D11+D12+D13+D14+D15+D16</f>
        <v>0</v>
      </c>
      <c r="E8" s="216">
        <f aca="true" t="shared" si="0" ref="E8:J8">E9+E10+E11+E12+E13+E14+E15+E16</f>
        <v>0</v>
      </c>
      <c r="F8" s="216">
        <f t="shared" si="0"/>
        <v>0</v>
      </c>
      <c r="G8" s="216">
        <f t="shared" si="0"/>
        <v>0</v>
      </c>
      <c r="H8" s="216">
        <f>H9+H10+H11+H12+H13+H14+H15+H16</f>
        <v>186.6</v>
      </c>
      <c r="I8" s="216">
        <f t="shared" si="0"/>
        <v>183.9593983975266</v>
      </c>
      <c r="J8" s="216">
        <f t="shared" si="0"/>
        <v>186.6</v>
      </c>
      <c r="K8" s="336">
        <f aca="true" t="shared" si="1" ref="K8:K20">J8/H8*100-100</f>
        <v>0</v>
      </c>
      <c r="L8" s="337">
        <f>L9+L10+L11+L12+L13+L14+L15+L16</f>
        <v>183.9593983975266</v>
      </c>
      <c r="M8" s="336">
        <f>L8/I8*100-100</f>
        <v>0</v>
      </c>
      <c r="N8" s="216">
        <f aca="true" t="shared" si="2" ref="N8:N71">M8/(I8+1E-106)*100-100</f>
        <v>-100</v>
      </c>
      <c r="O8" s="216">
        <f aca="true" t="shared" si="3" ref="O8:O17">M8-K8</f>
        <v>0</v>
      </c>
      <c r="P8" s="216"/>
      <c r="Q8" s="5">
        <f>Q9+Q10+Q11+Q12+Q13+Q14+Q15+Q16</f>
        <v>0</v>
      </c>
      <c r="R8" s="7">
        <f aca="true" t="shared" si="4" ref="R8:R23">Q8/(F8+1E-106)*100-100</f>
        <v>-100</v>
      </c>
      <c r="S8" s="5">
        <f>S9+S10+S11+S12+S13+S14+S15+S16</f>
        <v>0</v>
      </c>
      <c r="T8" s="8">
        <f>S8/(Q8+1E-106)*100-100</f>
        <v>-100</v>
      </c>
      <c r="U8" s="8">
        <f aca="true" t="shared" si="5" ref="U8:U23">S8/(F8+1E-106)*100-100</f>
        <v>-100</v>
      </c>
      <c r="V8" s="9">
        <f aca="true" t="shared" si="6" ref="V8:V23">S8-K8</f>
        <v>0</v>
      </c>
      <c r="W8" s="440" t="s">
        <v>224</v>
      </c>
      <c r="X8" s="157"/>
      <c r="Y8" s="10"/>
      <c r="Z8" s="11"/>
    </row>
    <row r="9" spans="1:26" ht="12.75" customHeight="1">
      <c r="A9" s="12"/>
      <c r="B9" s="13" t="s">
        <v>17</v>
      </c>
      <c r="C9" s="40" t="s">
        <v>16</v>
      </c>
      <c r="D9" s="141"/>
      <c r="E9" s="229"/>
      <c r="F9" s="141"/>
      <c r="G9" s="217"/>
      <c r="H9" s="217">
        <f>H17+H20</f>
        <v>186.6</v>
      </c>
      <c r="I9" s="141">
        <f>I17+I20</f>
        <v>183.9593983975266</v>
      </c>
      <c r="J9" s="217">
        <v>186.6</v>
      </c>
      <c r="K9" s="214">
        <f t="shared" si="1"/>
        <v>0</v>
      </c>
      <c r="L9" s="141">
        <f>L17+L20</f>
        <v>183.9593983975266</v>
      </c>
      <c r="M9" s="214">
        <f aca="true" t="shared" si="7" ref="M9:M71">L9/I9*100-100</f>
        <v>0</v>
      </c>
      <c r="N9" s="223">
        <f t="shared" si="2"/>
        <v>-100</v>
      </c>
      <c r="O9" s="223">
        <f t="shared" si="3"/>
        <v>0</v>
      </c>
      <c r="P9" s="217"/>
      <c r="Q9" s="15">
        <f>F9</f>
        <v>0</v>
      </c>
      <c r="R9" s="16">
        <f t="shared" si="4"/>
        <v>-100</v>
      </c>
      <c r="S9" s="15">
        <f>Q9</f>
        <v>0</v>
      </c>
      <c r="T9" s="17">
        <f aca="true" t="shared" si="8" ref="T9:T72">S9/(Q9+1E-106)*100-100</f>
        <v>-100</v>
      </c>
      <c r="U9" s="17">
        <f t="shared" si="5"/>
        <v>-100</v>
      </c>
      <c r="V9" s="16">
        <f t="shared" si="6"/>
        <v>0</v>
      </c>
      <c r="W9" s="441"/>
      <c r="X9" s="157"/>
      <c r="Y9" s="10"/>
      <c r="Z9" s="11"/>
    </row>
    <row r="10" spans="1:26" ht="12.75" customHeight="1" hidden="1">
      <c r="A10" s="12"/>
      <c r="B10" s="13" t="s">
        <v>18</v>
      </c>
      <c r="C10" s="40" t="s">
        <v>16</v>
      </c>
      <c r="D10" s="141"/>
      <c r="E10" s="229"/>
      <c r="F10" s="141"/>
      <c r="G10" s="217"/>
      <c r="H10" s="217"/>
      <c r="I10" s="141"/>
      <c r="J10" s="217"/>
      <c r="K10" s="214" t="e">
        <f t="shared" si="1"/>
        <v>#DIV/0!</v>
      </c>
      <c r="L10" s="141"/>
      <c r="M10" s="214" t="e">
        <f t="shared" si="7"/>
        <v>#DIV/0!</v>
      </c>
      <c r="N10" s="223" t="e">
        <f t="shared" si="2"/>
        <v>#DIV/0!</v>
      </c>
      <c r="O10" s="223" t="e">
        <f t="shared" si="3"/>
        <v>#DIV/0!</v>
      </c>
      <c r="P10" s="217"/>
      <c r="Q10" s="18"/>
      <c r="R10" s="16">
        <f t="shared" si="4"/>
        <v>-100</v>
      </c>
      <c r="S10" s="18"/>
      <c r="T10" s="17">
        <f t="shared" si="8"/>
        <v>-100</v>
      </c>
      <c r="U10" s="17">
        <f t="shared" si="5"/>
        <v>-100</v>
      </c>
      <c r="V10" s="16" t="e">
        <f t="shared" si="6"/>
        <v>#DIV/0!</v>
      </c>
      <c r="W10" s="441"/>
      <c r="X10" s="157"/>
      <c r="Y10" s="10"/>
      <c r="Z10" s="11"/>
    </row>
    <row r="11" spans="1:26" ht="12.75" customHeight="1" hidden="1">
      <c r="A11" s="12"/>
      <c r="B11" s="13" t="s">
        <v>19</v>
      </c>
      <c r="C11" s="40" t="s">
        <v>16</v>
      </c>
      <c r="D11" s="141"/>
      <c r="E11" s="229"/>
      <c r="F11" s="141"/>
      <c r="G11" s="217"/>
      <c r="H11" s="217"/>
      <c r="I11" s="141"/>
      <c r="J11" s="217"/>
      <c r="K11" s="214" t="e">
        <f t="shared" si="1"/>
        <v>#DIV/0!</v>
      </c>
      <c r="L11" s="141"/>
      <c r="M11" s="214" t="e">
        <f t="shared" si="7"/>
        <v>#DIV/0!</v>
      </c>
      <c r="N11" s="223" t="e">
        <f t="shared" si="2"/>
        <v>#DIV/0!</v>
      </c>
      <c r="O11" s="223" t="e">
        <f t="shared" si="3"/>
        <v>#DIV/0!</v>
      </c>
      <c r="P11" s="217"/>
      <c r="Q11" s="18"/>
      <c r="R11" s="16">
        <f t="shared" si="4"/>
        <v>-100</v>
      </c>
      <c r="S11" s="18"/>
      <c r="T11" s="17">
        <f t="shared" si="8"/>
        <v>-100</v>
      </c>
      <c r="U11" s="17">
        <f t="shared" si="5"/>
        <v>-100</v>
      </c>
      <c r="V11" s="16" t="e">
        <f t="shared" si="6"/>
        <v>#DIV/0!</v>
      </c>
      <c r="W11" s="441"/>
      <c r="X11" s="157"/>
      <c r="Y11" s="10"/>
      <c r="Z11" s="11"/>
    </row>
    <row r="12" spans="1:26" ht="12.75" customHeight="1" hidden="1">
      <c r="A12" s="12"/>
      <c r="B12" s="13" t="s">
        <v>20</v>
      </c>
      <c r="C12" s="40" t="s">
        <v>16</v>
      </c>
      <c r="D12" s="141"/>
      <c r="E12" s="229"/>
      <c r="F12" s="141"/>
      <c r="G12" s="217"/>
      <c r="H12" s="217"/>
      <c r="I12" s="141"/>
      <c r="J12" s="217"/>
      <c r="K12" s="214" t="e">
        <f t="shared" si="1"/>
        <v>#DIV/0!</v>
      </c>
      <c r="L12" s="141"/>
      <c r="M12" s="214" t="e">
        <f t="shared" si="7"/>
        <v>#DIV/0!</v>
      </c>
      <c r="N12" s="223" t="e">
        <f t="shared" si="2"/>
        <v>#DIV/0!</v>
      </c>
      <c r="O12" s="223" t="e">
        <f t="shared" si="3"/>
        <v>#DIV/0!</v>
      </c>
      <c r="P12" s="217"/>
      <c r="Q12" s="18"/>
      <c r="R12" s="16">
        <f t="shared" si="4"/>
        <v>-100</v>
      </c>
      <c r="S12" s="18"/>
      <c r="T12" s="17">
        <f t="shared" si="8"/>
        <v>-100</v>
      </c>
      <c r="U12" s="17">
        <f t="shared" si="5"/>
        <v>-100</v>
      </c>
      <c r="V12" s="16" t="e">
        <f t="shared" si="6"/>
        <v>#DIV/0!</v>
      </c>
      <c r="W12" s="441"/>
      <c r="X12" s="157"/>
      <c r="Y12" s="10"/>
      <c r="Z12" s="11"/>
    </row>
    <row r="13" spans="1:26" ht="12.75" customHeight="1" hidden="1">
      <c r="A13" s="12"/>
      <c r="B13" s="13" t="s">
        <v>21</v>
      </c>
      <c r="C13" s="40" t="s">
        <v>16</v>
      </c>
      <c r="D13" s="141"/>
      <c r="E13" s="229"/>
      <c r="F13" s="141"/>
      <c r="G13" s="217"/>
      <c r="H13" s="217"/>
      <c r="I13" s="141"/>
      <c r="J13" s="217"/>
      <c r="K13" s="214" t="e">
        <f t="shared" si="1"/>
        <v>#DIV/0!</v>
      </c>
      <c r="L13" s="141"/>
      <c r="M13" s="214" t="e">
        <f t="shared" si="7"/>
        <v>#DIV/0!</v>
      </c>
      <c r="N13" s="223" t="e">
        <f t="shared" si="2"/>
        <v>#DIV/0!</v>
      </c>
      <c r="O13" s="223" t="e">
        <f t="shared" si="3"/>
        <v>#DIV/0!</v>
      </c>
      <c r="P13" s="217"/>
      <c r="Q13" s="18"/>
      <c r="R13" s="16">
        <f t="shared" si="4"/>
        <v>-100</v>
      </c>
      <c r="S13" s="18"/>
      <c r="T13" s="17">
        <f t="shared" si="8"/>
        <v>-100</v>
      </c>
      <c r="U13" s="17">
        <f t="shared" si="5"/>
        <v>-100</v>
      </c>
      <c r="V13" s="16" t="e">
        <f t="shared" si="6"/>
        <v>#DIV/0!</v>
      </c>
      <c r="W13" s="441"/>
      <c r="X13" s="157"/>
      <c r="Y13" s="10"/>
      <c r="Z13" s="11"/>
    </row>
    <row r="14" spans="1:26" ht="12.75" customHeight="1" hidden="1">
      <c r="A14" s="12"/>
      <c r="B14" s="13" t="s">
        <v>22</v>
      </c>
      <c r="C14" s="40" t="s">
        <v>16</v>
      </c>
      <c r="D14" s="141"/>
      <c r="E14" s="229"/>
      <c r="F14" s="141"/>
      <c r="G14" s="217"/>
      <c r="H14" s="217"/>
      <c r="I14" s="141"/>
      <c r="J14" s="217"/>
      <c r="K14" s="214" t="e">
        <f t="shared" si="1"/>
        <v>#DIV/0!</v>
      </c>
      <c r="L14" s="141"/>
      <c r="M14" s="214" t="e">
        <f t="shared" si="7"/>
        <v>#DIV/0!</v>
      </c>
      <c r="N14" s="223" t="e">
        <f t="shared" si="2"/>
        <v>#DIV/0!</v>
      </c>
      <c r="O14" s="223" t="e">
        <f t="shared" si="3"/>
        <v>#DIV/0!</v>
      </c>
      <c r="P14" s="217"/>
      <c r="Q14" s="18"/>
      <c r="R14" s="16">
        <f t="shared" si="4"/>
        <v>-100</v>
      </c>
      <c r="S14" s="18"/>
      <c r="T14" s="17">
        <f t="shared" si="8"/>
        <v>-100</v>
      </c>
      <c r="U14" s="17">
        <f t="shared" si="5"/>
        <v>-100</v>
      </c>
      <c r="V14" s="16" t="e">
        <f t="shared" si="6"/>
        <v>#DIV/0!</v>
      </c>
      <c r="W14" s="441"/>
      <c r="X14" s="157"/>
      <c r="Y14" s="10"/>
      <c r="Z14" s="11"/>
    </row>
    <row r="15" spans="1:26" ht="12.75" customHeight="1" hidden="1">
      <c r="A15" s="12"/>
      <c r="B15" s="13" t="s">
        <v>23</v>
      </c>
      <c r="C15" s="40" t="s">
        <v>16</v>
      </c>
      <c r="D15" s="141"/>
      <c r="E15" s="229"/>
      <c r="F15" s="141"/>
      <c r="G15" s="217"/>
      <c r="H15" s="217"/>
      <c r="I15" s="141"/>
      <c r="J15" s="217"/>
      <c r="K15" s="214" t="e">
        <f t="shared" si="1"/>
        <v>#DIV/0!</v>
      </c>
      <c r="L15" s="141"/>
      <c r="M15" s="214" t="e">
        <f t="shared" si="7"/>
        <v>#DIV/0!</v>
      </c>
      <c r="N15" s="223" t="e">
        <f t="shared" si="2"/>
        <v>#DIV/0!</v>
      </c>
      <c r="O15" s="223" t="e">
        <f t="shared" si="3"/>
        <v>#DIV/0!</v>
      </c>
      <c r="P15" s="217"/>
      <c r="Q15" s="18"/>
      <c r="R15" s="16">
        <f t="shared" si="4"/>
        <v>-100</v>
      </c>
      <c r="S15" s="18"/>
      <c r="T15" s="17">
        <f t="shared" si="8"/>
        <v>-100</v>
      </c>
      <c r="U15" s="17">
        <f t="shared" si="5"/>
        <v>-100</v>
      </c>
      <c r="V15" s="16" t="e">
        <f t="shared" si="6"/>
        <v>#DIV/0!</v>
      </c>
      <c r="W15" s="441"/>
      <c r="X15" s="157"/>
      <c r="Y15" s="10"/>
      <c r="Z15" s="11"/>
    </row>
    <row r="16" spans="1:26" ht="12.75" customHeight="1" hidden="1">
      <c r="A16" s="12"/>
      <c r="B16" s="13" t="s">
        <v>24</v>
      </c>
      <c r="C16" s="40" t="s">
        <v>16</v>
      </c>
      <c r="D16" s="141"/>
      <c r="E16" s="229"/>
      <c r="F16" s="141"/>
      <c r="G16" s="217"/>
      <c r="H16" s="217"/>
      <c r="I16" s="141"/>
      <c r="J16" s="217"/>
      <c r="K16" s="214" t="e">
        <f t="shared" si="1"/>
        <v>#DIV/0!</v>
      </c>
      <c r="L16" s="141"/>
      <c r="M16" s="214" t="e">
        <f t="shared" si="7"/>
        <v>#DIV/0!</v>
      </c>
      <c r="N16" s="223" t="e">
        <f t="shared" si="2"/>
        <v>#DIV/0!</v>
      </c>
      <c r="O16" s="223" t="e">
        <f t="shared" si="3"/>
        <v>#DIV/0!</v>
      </c>
      <c r="P16" s="217"/>
      <c r="Q16" s="18"/>
      <c r="R16" s="16">
        <f t="shared" si="4"/>
        <v>-100</v>
      </c>
      <c r="S16" s="18"/>
      <c r="T16" s="17">
        <f t="shared" si="8"/>
        <v>-100</v>
      </c>
      <c r="U16" s="17">
        <f t="shared" si="5"/>
        <v>-100</v>
      </c>
      <c r="V16" s="16" t="e">
        <f t="shared" si="6"/>
        <v>#DIV/0!</v>
      </c>
      <c r="W16" s="441"/>
      <c r="X16" s="157"/>
      <c r="Y16" s="10"/>
      <c r="Z16" s="11"/>
    </row>
    <row r="17" spans="1:26" ht="12.75" customHeight="1">
      <c r="A17" s="3">
        <v>2</v>
      </c>
      <c r="B17" s="13" t="s">
        <v>25</v>
      </c>
      <c r="C17" s="40" t="s">
        <v>16</v>
      </c>
      <c r="D17" s="141"/>
      <c r="E17" s="229"/>
      <c r="F17" s="141"/>
      <c r="G17" s="217"/>
      <c r="H17" s="217">
        <v>5.4</v>
      </c>
      <c r="I17" s="141">
        <v>2.7593983975266196</v>
      </c>
      <c r="J17" s="217">
        <v>5.4</v>
      </c>
      <c r="K17" s="214">
        <f t="shared" si="1"/>
        <v>0</v>
      </c>
      <c r="L17" s="141">
        <v>2.7593983975266196</v>
      </c>
      <c r="M17" s="214">
        <f t="shared" si="7"/>
        <v>0</v>
      </c>
      <c r="N17" s="223">
        <f t="shared" si="2"/>
        <v>-100</v>
      </c>
      <c r="O17" s="223">
        <f t="shared" si="3"/>
        <v>0</v>
      </c>
      <c r="P17" s="217"/>
      <c r="Q17" s="15">
        <f>F17</f>
        <v>0</v>
      </c>
      <c r="R17" s="16">
        <f t="shared" si="4"/>
        <v>-100</v>
      </c>
      <c r="S17" s="15">
        <f>F17</f>
        <v>0</v>
      </c>
      <c r="T17" s="17">
        <f t="shared" si="8"/>
        <v>-100</v>
      </c>
      <c r="U17" s="17">
        <f t="shared" si="5"/>
        <v>-100</v>
      </c>
      <c r="V17" s="16">
        <f t="shared" si="6"/>
        <v>0</v>
      </c>
      <c r="W17" s="442"/>
      <c r="X17" s="157"/>
      <c r="Y17" s="10"/>
      <c r="Z17" s="11"/>
    </row>
    <row r="18" spans="1:26" ht="12.75" customHeight="1">
      <c r="A18" s="12"/>
      <c r="B18" s="13" t="s">
        <v>25</v>
      </c>
      <c r="C18" s="40" t="s">
        <v>26</v>
      </c>
      <c r="D18" s="219">
        <f aca="true" t="shared" si="9" ref="D18:J18">D17/(D8+1E-124)*100</f>
        <v>0</v>
      </c>
      <c r="E18" s="214">
        <f t="shared" si="9"/>
        <v>0</v>
      </c>
      <c r="F18" s="219">
        <f>F17/(F8+1E-124)*100</f>
        <v>0</v>
      </c>
      <c r="G18" s="214">
        <f t="shared" si="9"/>
        <v>0</v>
      </c>
      <c r="H18" s="214">
        <f>H17/(H8+1E-124)*100</f>
        <v>2.893890675241158</v>
      </c>
      <c r="I18" s="219">
        <f t="shared" si="9"/>
        <v>1.5000040343487668</v>
      </c>
      <c r="J18" s="214">
        <f t="shared" si="9"/>
        <v>2.893890675241158</v>
      </c>
      <c r="K18" s="214">
        <f t="shared" si="1"/>
        <v>0</v>
      </c>
      <c r="L18" s="219">
        <f>L17/(L8+1E-124)*100</f>
        <v>1.5000040343487668</v>
      </c>
      <c r="M18" s="214">
        <f t="shared" si="7"/>
        <v>0</v>
      </c>
      <c r="N18" s="223">
        <f t="shared" si="2"/>
        <v>-100</v>
      </c>
      <c r="O18" s="223"/>
      <c r="P18" s="223"/>
      <c r="Q18" s="20">
        <f>Q17/(Q8+1E-124)*100</f>
        <v>0</v>
      </c>
      <c r="R18" s="16">
        <f t="shared" si="4"/>
        <v>-100</v>
      </c>
      <c r="S18" s="20">
        <f>S17/(S8+1E-124)*100</f>
        <v>0</v>
      </c>
      <c r="T18" s="17">
        <f t="shared" si="8"/>
        <v>-100</v>
      </c>
      <c r="U18" s="17">
        <f t="shared" si="5"/>
        <v>-100</v>
      </c>
      <c r="V18" s="16">
        <f t="shared" si="6"/>
        <v>0</v>
      </c>
      <c r="W18" s="367"/>
      <c r="X18" s="49"/>
      <c r="Y18" s="21"/>
      <c r="Z18" s="22"/>
    </row>
    <row r="19" spans="1:26" ht="14.25" customHeight="1" hidden="1">
      <c r="A19" s="319">
        <v>3</v>
      </c>
      <c r="B19" s="320" t="s">
        <v>178</v>
      </c>
      <c r="C19" s="321" t="s">
        <v>16</v>
      </c>
      <c r="D19" s="322"/>
      <c r="E19" s="322"/>
      <c r="F19" s="322"/>
      <c r="G19" s="322"/>
      <c r="H19" s="322"/>
      <c r="I19" s="220"/>
      <c r="J19" s="220"/>
      <c r="K19" s="214" t="e">
        <f t="shared" si="1"/>
        <v>#DIV/0!</v>
      </c>
      <c r="L19" s="220"/>
      <c r="M19" s="214" t="e">
        <f t="shared" si="7"/>
        <v>#DIV/0!</v>
      </c>
      <c r="N19" s="223" t="e">
        <f t="shared" si="2"/>
        <v>#DIV/0!</v>
      </c>
      <c r="O19" s="227" t="e">
        <f>M19-K19</f>
        <v>#DIV/0!</v>
      </c>
      <c r="P19" s="227"/>
      <c r="Q19" s="24"/>
      <c r="R19" s="16">
        <f t="shared" si="4"/>
        <v>-100</v>
      </c>
      <c r="S19" s="24"/>
      <c r="T19" s="8">
        <f t="shared" si="8"/>
        <v>-100</v>
      </c>
      <c r="U19" s="8">
        <f t="shared" si="5"/>
        <v>-100</v>
      </c>
      <c r="V19" s="9" t="e">
        <f t="shared" si="6"/>
        <v>#DIV/0!</v>
      </c>
      <c r="W19" s="440" t="s">
        <v>206</v>
      </c>
      <c r="X19" s="49"/>
      <c r="Y19" s="21"/>
      <c r="Z19" s="22"/>
    </row>
    <row r="20" spans="1:26" ht="12.75" customHeight="1">
      <c r="A20" s="3">
        <v>4</v>
      </c>
      <c r="B20" s="4" t="s">
        <v>27</v>
      </c>
      <c r="C20" s="40" t="s">
        <v>16</v>
      </c>
      <c r="D20" s="216">
        <f>D8-D17+D19</f>
        <v>0</v>
      </c>
      <c r="E20" s="224">
        <f aca="true" t="shared" si="10" ref="E20:J20">E8-E17+E19</f>
        <v>0</v>
      </c>
      <c r="F20" s="216">
        <f>F8-F17+F19</f>
        <v>0</v>
      </c>
      <c r="G20" s="224">
        <f t="shared" si="10"/>
        <v>0</v>
      </c>
      <c r="H20" s="224">
        <f>H23</f>
        <v>181.2</v>
      </c>
      <c r="I20" s="216">
        <f>I23</f>
        <v>181.2</v>
      </c>
      <c r="J20" s="224">
        <f t="shared" si="10"/>
        <v>181.2</v>
      </c>
      <c r="K20" s="214">
        <f t="shared" si="1"/>
        <v>0</v>
      </c>
      <c r="L20" s="216">
        <f>L23</f>
        <v>181.2</v>
      </c>
      <c r="M20" s="214">
        <f t="shared" si="7"/>
        <v>0</v>
      </c>
      <c r="N20" s="223">
        <f t="shared" si="2"/>
        <v>-100</v>
      </c>
      <c r="O20" s="227">
        <f>M20-K20</f>
        <v>0</v>
      </c>
      <c r="P20" s="227"/>
      <c r="Q20" s="5">
        <f>Q8-Q17+Q19</f>
        <v>0</v>
      </c>
      <c r="R20" s="16">
        <f t="shared" si="4"/>
        <v>-100</v>
      </c>
      <c r="S20" s="5">
        <f>S8-S17+S19</f>
        <v>0</v>
      </c>
      <c r="T20" s="8">
        <f t="shared" si="8"/>
        <v>-100</v>
      </c>
      <c r="U20" s="8">
        <f t="shared" si="5"/>
        <v>-100</v>
      </c>
      <c r="V20" s="9">
        <f t="shared" si="6"/>
        <v>0</v>
      </c>
      <c r="W20" s="441"/>
      <c r="X20" s="49"/>
      <c r="Y20" s="21"/>
      <c r="Z20" s="22"/>
    </row>
    <row r="21" spans="1:26" ht="12.75" customHeight="1">
      <c r="A21" s="3">
        <v>5</v>
      </c>
      <c r="B21" s="13" t="s">
        <v>28</v>
      </c>
      <c r="C21" s="40" t="s">
        <v>16</v>
      </c>
      <c r="D21" s="219">
        <f aca="true" t="shared" si="11" ref="D21:J21">D20-D23</f>
        <v>0</v>
      </c>
      <c r="E21" s="214">
        <f t="shared" si="11"/>
        <v>0</v>
      </c>
      <c r="F21" s="219">
        <f t="shared" si="11"/>
        <v>0</v>
      </c>
      <c r="G21" s="214">
        <f t="shared" si="11"/>
        <v>0</v>
      </c>
      <c r="H21" s="214">
        <f>H20-H23</f>
        <v>0</v>
      </c>
      <c r="I21" s="219">
        <f t="shared" si="11"/>
        <v>0</v>
      </c>
      <c r="J21" s="214">
        <f t="shared" si="11"/>
        <v>0</v>
      </c>
      <c r="K21" s="214"/>
      <c r="L21" s="216">
        <f>L20-L23</f>
        <v>0</v>
      </c>
      <c r="M21" s="214"/>
      <c r="N21" s="223">
        <f t="shared" si="2"/>
        <v>-100</v>
      </c>
      <c r="O21" s="223">
        <f>M21-K21</f>
        <v>0</v>
      </c>
      <c r="P21" s="223"/>
      <c r="Q21" s="15">
        <v>0</v>
      </c>
      <c r="R21" s="16">
        <f t="shared" si="4"/>
        <v>-100</v>
      </c>
      <c r="S21" s="15">
        <v>0</v>
      </c>
      <c r="T21" s="17">
        <f t="shared" si="8"/>
        <v>-100</v>
      </c>
      <c r="U21" s="17">
        <f t="shared" si="5"/>
        <v>-100</v>
      </c>
      <c r="V21" s="16">
        <f t="shared" si="6"/>
        <v>0</v>
      </c>
      <c r="W21" s="441"/>
      <c r="X21" s="49"/>
      <c r="Y21" s="21"/>
      <c r="Z21" s="22"/>
    </row>
    <row r="22" spans="1:26" ht="12.75" customHeight="1">
      <c r="A22" s="12"/>
      <c r="B22" s="13" t="s">
        <v>28</v>
      </c>
      <c r="C22" s="40" t="s">
        <v>26</v>
      </c>
      <c r="D22" s="219">
        <f aca="true" t="shared" si="12" ref="D22:J22">D21/(D20+1E-144)*100</f>
        <v>0</v>
      </c>
      <c r="E22" s="214">
        <f t="shared" si="12"/>
        <v>0</v>
      </c>
      <c r="F22" s="219">
        <f t="shared" si="12"/>
        <v>0</v>
      </c>
      <c r="G22" s="214">
        <f t="shared" si="12"/>
        <v>0</v>
      </c>
      <c r="H22" s="214">
        <f>H21/(H20+1E-144)*100</f>
        <v>0</v>
      </c>
      <c r="I22" s="219">
        <f t="shared" si="12"/>
        <v>0</v>
      </c>
      <c r="J22" s="214">
        <f t="shared" si="12"/>
        <v>0</v>
      </c>
      <c r="K22" s="214"/>
      <c r="L22" s="216">
        <f>L21/(L20+1E-144)*100</f>
        <v>0</v>
      </c>
      <c r="M22" s="214"/>
      <c r="N22" s="223">
        <f t="shared" si="2"/>
        <v>-100</v>
      </c>
      <c r="O22" s="223"/>
      <c r="P22" s="223"/>
      <c r="Q22" s="20">
        <f>Q21/(Q20+1E-144)*100</f>
        <v>0</v>
      </c>
      <c r="R22" s="16">
        <f t="shared" si="4"/>
        <v>-100</v>
      </c>
      <c r="S22" s="20">
        <f>S21/(S20+1E-144)*100</f>
        <v>0</v>
      </c>
      <c r="T22" s="17">
        <f t="shared" si="8"/>
        <v>-100</v>
      </c>
      <c r="U22" s="17">
        <f t="shared" si="5"/>
        <v>-100</v>
      </c>
      <c r="V22" s="16">
        <f t="shared" si="6"/>
        <v>0</v>
      </c>
      <c r="W22" s="442"/>
      <c r="X22" s="49"/>
      <c r="Y22" s="21"/>
      <c r="Z22" s="22"/>
    </row>
    <row r="23" spans="1:26" ht="16.5" customHeight="1">
      <c r="A23" s="51">
        <v>6</v>
      </c>
      <c r="B23" s="52" t="s">
        <v>29</v>
      </c>
      <c r="C23" s="163" t="s">
        <v>16</v>
      </c>
      <c r="D23" s="216">
        <f>C183</f>
        <v>0</v>
      </c>
      <c r="E23" s="216">
        <f>D183</f>
        <v>0</v>
      </c>
      <c r="F23" s="216">
        <f>F183</f>
        <v>0</v>
      </c>
      <c r="G23" s="216">
        <f>G183</f>
        <v>0</v>
      </c>
      <c r="H23" s="216">
        <v>181.2</v>
      </c>
      <c r="I23" s="216">
        <f>H23</f>
        <v>181.2</v>
      </c>
      <c r="J23" s="216">
        <v>181.2</v>
      </c>
      <c r="K23" s="337">
        <f>J23/H23*100-100</f>
        <v>0</v>
      </c>
      <c r="L23" s="337">
        <f>I23</f>
        <v>181.2</v>
      </c>
      <c r="M23" s="337">
        <f t="shared" si="7"/>
        <v>0</v>
      </c>
      <c r="N23" s="216">
        <f t="shared" si="2"/>
        <v>-100</v>
      </c>
      <c r="O23" s="216">
        <f>M23-K23</f>
        <v>0</v>
      </c>
      <c r="P23" s="216"/>
      <c r="Q23" s="164">
        <f>K183</f>
        <v>0</v>
      </c>
      <c r="R23" s="164">
        <f t="shared" si="4"/>
        <v>-100</v>
      </c>
      <c r="S23" s="164">
        <f>Q23</f>
        <v>0</v>
      </c>
      <c r="T23" s="54">
        <f t="shared" si="8"/>
        <v>-100</v>
      </c>
      <c r="U23" s="54">
        <f t="shared" si="5"/>
        <v>-100</v>
      </c>
      <c r="V23" s="55">
        <f t="shared" si="6"/>
        <v>0</v>
      </c>
      <c r="W23" s="54"/>
      <c r="X23" s="49"/>
      <c r="Y23" s="21"/>
      <c r="Z23" s="22"/>
    </row>
    <row r="24" spans="1:26" ht="12" customHeight="1">
      <c r="A24" s="305">
        <v>7</v>
      </c>
      <c r="B24" s="4" t="s">
        <v>30</v>
      </c>
      <c r="C24" s="40"/>
      <c r="D24" s="219"/>
      <c r="E24" s="214"/>
      <c r="F24" s="219"/>
      <c r="G24" s="214"/>
      <c r="H24" s="224"/>
      <c r="I24" s="219"/>
      <c r="J24" s="224"/>
      <c r="K24" s="214"/>
      <c r="L24" s="337"/>
      <c r="M24" s="214"/>
      <c r="N24" s="223"/>
      <c r="O24" s="223"/>
      <c r="P24" s="223"/>
      <c r="Q24" s="306"/>
      <c r="R24" s="307"/>
      <c r="S24" s="306"/>
      <c r="T24" s="308"/>
      <c r="U24" s="308"/>
      <c r="V24" s="309"/>
      <c r="W24" s="307"/>
      <c r="X24" s="49"/>
      <c r="Y24" s="21"/>
      <c r="Z24" s="22"/>
    </row>
    <row r="25" spans="1:26" ht="12" customHeight="1">
      <c r="A25" s="305"/>
      <c r="B25" s="333" t="s">
        <v>213</v>
      </c>
      <c r="C25" s="334" t="s">
        <v>42</v>
      </c>
      <c r="D25" s="219"/>
      <c r="E25" s="214"/>
      <c r="F25" s="219"/>
      <c r="G25" s="214"/>
      <c r="H25" s="224"/>
      <c r="I25" s="219"/>
      <c r="J25" s="224"/>
      <c r="K25" s="214"/>
      <c r="L25" s="337"/>
      <c r="M25" s="214"/>
      <c r="N25" s="223"/>
      <c r="O25" s="223"/>
      <c r="P25" s="223"/>
      <c r="Q25" s="306"/>
      <c r="R25" s="307"/>
      <c r="S25" s="306"/>
      <c r="T25" s="308"/>
      <c r="U25" s="308"/>
      <c r="V25" s="309"/>
      <c r="W25" s="307"/>
      <c r="X25" s="49"/>
      <c r="Y25" s="21"/>
      <c r="Z25" s="22"/>
    </row>
    <row r="26" spans="1:26" ht="12" customHeight="1">
      <c r="A26" s="305"/>
      <c r="B26" s="333" t="s">
        <v>214</v>
      </c>
      <c r="C26" s="334" t="s">
        <v>215</v>
      </c>
      <c r="D26" s="219"/>
      <c r="E26" s="214"/>
      <c r="F26" s="219"/>
      <c r="G26" s="214"/>
      <c r="H26" s="224"/>
      <c r="I26" s="219"/>
      <c r="J26" s="224"/>
      <c r="K26" s="214"/>
      <c r="L26" s="337"/>
      <c r="M26" s="214"/>
      <c r="N26" s="223"/>
      <c r="O26" s="223"/>
      <c r="P26" s="223"/>
      <c r="Q26" s="306"/>
      <c r="R26" s="307"/>
      <c r="S26" s="306"/>
      <c r="T26" s="308"/>
      <c r="U26" s="308"/>
      <c r="V26" s="309"/>
      <c r="W26" s="307"/>
      <c r="X26" s="49"/>
      <c r="Y26" s="21"/>
      <c r="Z26" s="22"/>
    </row>
    <row r="27" spans="1:26" ht="12" customHeight="1">
      <c r="A27" s="310" t="s">
        <v>31</v>
      </c>
      <c r="B27" s="4" t="s">
        <v>32</v>
      </c>
      <c r="C27" s="40"/>
      <c r="D27" s="219"/>
      <c r="E27" s="214"/>
      <c r="F27" s="219"/>
      <c r="G27" s="214"/>
      <c r="H27" s="224"/>
      <c r="I27" s="219"/>
      <c r="J27" s="224"/>
      <c r="K27" s="214"/>
      <c r="L27" s="337"/>
      <c r="M27" s="214"/>
      <c r="N27" s="223"/>
      <c r="O27" s="223"/>
      <c r="P27" s="223"/>
      <c r="Q27" s="306"/>
      <c r="R27" s="307"/>
      <c r="S27" s="306"/>
      <c r="T27" s="308"/>
      <c r="U27" s="308"/>
      <c r="V27" s="309"/>
      <c r="W27" s="307"/>
      <c r="X27" s="49"/>
      <c r="Y27" s="21"/>
      <c r="Z27" s="22"/>
    </row>
    <row r="28" spans="1:26" ht="12" customHeight="1">
      <c r="A28" s="12"/>
      <c r="B28" s="27" t="s">
        <v>33</v>
      </c>
      <c r="C28" s="40" t="s">
        <v>34</v>
      </c>
      <c r="D28" s="236"/>
      <c r="E28" s="214">
        <f>E30*1000*E29/(E9+1E-94)</f>
        <v>0</v>
      </c>
      <c r="F28" s="141"/>
      <c r="G28" s="214">
        <f>G30*1000*G29/(G9+1E-94)</f>
        <v>0</v>
      </c>
      <c r="H28" s="229">
        <f>I28</f>
        <v>155</v>
      </c>
      <c r="I28" s="220">
        <v>155</v>
      </c>
      <c r="J28" s="230">
        <f>H28</f>
        <v>155</v>
      </c>
      <c r="K28" s="214">
        <f>J28/H28*100-100</f>
        <v>0</v>
      </c>
      <c r="L28" s="337">
        <f>I28</f>
        <v>155</v>
      </c>
      <c r="M28" s="214">
        <f t="shared" si="7"/>
        <v>0</v>
      </c>
      <c r="N28" s="223">
        <f t="shared" si="2"/>
        <v>-100</v>
      </c>
      <c r="O28" s="223">
        <f>M28-K28</f>
        <v>0</v>
      </c>
      <c r="P28" s="217"/>
      <c r="Q28" s="252">
        <f>F28</f>
        <v>0</v>
      </c>
      <c r="R28" s="253">
        <f>Q28/(F28+1E-106)*100-100</f>
        <v>-100</v>
      </c>
      <c r="S28" s="252">
        <f>Q28</f>
        <v>0</v>
      </c>
      <c r="T28" s="253">
        <f t="shared" si="8"/>
        <v>-100</v>
      </c>
      <c r="U28" s="253">
        <f>S28/(F28+1E-106)*100-100</f>
        <v>-100</v>
      </c>
      <c r="V28" s="253">
        <f>S28-K28</f>
        <v>0</v>
      </c>
      <c r="W28" s="250"/>
      <c r="X28" s="49"/>
      <c r="Y28" s="21"/>
      <c r="Z28" s="22"/>
    </row>
    <row r="29" spans="1:26" ht="12" customHeight="1">
      <c r="A29" s="12"/>
      <c r="B29" s="27" t="s">
        <v>35</v>
      </c>
      <c r="C29" s="130"/>
      <c r="D29" s="141"/>
      <c r="E29" s="229"/>
      <c r="F29" s="141"/>
      <c r="G29" s="229"/>
      <c r="H29" s="343">
        <v>1.129</v>
      </c>
      <c r="I29" s="390">
        <v>1.129</v>
      </c>
      <c r="J29" s="344">
        <v>1.129</v>
      </c>
      <c r="K29" s="214">
        <f>J29/H29*100-100</f>
        <v>0</v>
      </c>
      <c r="L29" s="392">
        <f>I29</f>
        <v>1.129</v>
      </c>
      <c r="M29" s="214">
        <f t="shared" si="7"/>
        <v>0</v>
      </c>
      <c r="N29" s="223">
        <f t="shared" si="2"/>
        <v>-100</v>
      </c>
      <c r="O29" s="223"/>
      <c r="P29" s="217"/>
      <c r="Q29" s="252">
        <f>F29</f>
        <v>0</v>
      </c>
      <c r="R29" s="253">
        <f>Q29/(F29+1E-106)*100-100</f>
        <v>-100</v>
      </c>
      <c r="S29" s="252">
        <f>Q29</f>
        <v>0</v>
      </c>
      <c r="T29" s="253">
        <f t="shared" si="8"/>
        <v>-100</v>
      </c>
      <c r="U29" s="253">
        <f>S29/(F29+1E-106)*100-100</f>
        <v>-100</v>
      </c>
      <c r="V29" s="253">
        <f>S29-K29</f>
        <v>0</v>
      </c>
      <c r="W29" s="254"/>
      <c r="X29" s="49"/>
      <c r="Y29" s="21"/>
      <c r="Z29" s="22"/>
    </row>
    <row r="30" spans="1:26" ht="12" customHeight="1">
      <c r="A30" s="12"/>
      <c r="B30" s="13" t="s">
        <v>36</v>
      </c>
      <c r="C30" s="40" t="s">
        <v>37</v>
      </c>
      <c r="D30" s="219">
        <f>D28/(D29+1E-97)*D9/1000</f>
        <v>0</v>
      </c>
      <c r="E30" s="229"/>
      <c r="F30" s="219">
        <f>F28/(F29+1E-97)*F9/1000</f>
        <v>0</v>
      </c>
      <c r="G30" s="229"/>
      <c r="H30" s="214">
        <f>J30</f>
        <v>25.25571900054617</v>
      </c>
      <c r="I30" s="216">
        <f>I28/(I29+1E-97)*I9/1000</f>
        <v>25.25571900054617</v>
      </c>
      <c r="J30" s="235">
        <f>L30</f>
        <v>25.25571900054617</v>
      </c>
      <c r="K30" s="214">
        <f>J30/H30*100-100</f>
        <v>0</v>
      </c>
      <c r="L30" s="216">
        <f>L28/(L29+1E-97)*L9/1000</f>
        <v>25.25571900054617</v>
      </c>
      <c r="M30" s="214">
        <f t="shared" si="7"/>
        <v>0</v>
      </c>
      <c r="N30" s="223">
        <f t="shared" si="2"/>
        <v>-100</v>
      </c>
      <c r="O30" s="223">
        <f aca="true" t="shared" si="13" ref="O30:O44">M30-K30</f>
        <v>0</v>
      </c>
      <c r="P30" s="223"/>
      <c r="Q30" s="32">
        <f>Q28/(Q29+1E-97)*Q9/1000</f>
        <v>0</v>
      </c>
      <c r="R30" s="29">
        <f>Q30/(F30+1E-106)*100-100</f>
        <v>-100</v>
      </c>
      <c r="S30" s="32">
        <f>S28/(S29+1E-97)*S9/1000</f>
        <v>0</v>
      </c>
      <c r="T30" s="29">
        <f t="shared" si="8"/>
        <v>-100</v>
      </c>
      <c r="U30" s="29">
        <f>S30/(F30+1E-106)*100-100</f>
        <v>-100</v>
      </c>
      <c r="V30" s="29">
        <f>S30-K30</f>
        <v>0</v>
      </c>
      <c r="W30" s="31"/>
      <c r="X30" s="49"/>
      <c r="Y30" s="21"/>
      <c r="Z30" s="22"/>
    </row>
    <row r="31" spans="1:26" s="33" customFormat="1" ht="12" customHeight="1">
      <c r="A31" s="3"/>
      <c r="B31" s="4" t="s">
        <v>38</v>
      </c>
      <c r="C31" s="40" t="s">
        <v>39</v>
      </c>
      <c r="D31" s="220"/>
      <c r="E31" s="224">
        <f>E104/(E30+1E-103)*1000</f>
        <v>0</v>
      </c>
      <c r="F31" s="220"/>
      <c r="G31" s="224">
        <f>G104/(G30+1E-103)*1000</f>
        <v>0</v>
      </c>
      <c r="H31" s="235">
        <f>I31</f>
        <v>4264.0008</v>
      </c>
      <c r="I31" s="220">
        <f>1.18*3613.56</f>
        <v>4264.0008</v>
      </c>
      <c r="J31" s="235">
        <f>L31</f>
        <v>4903.600919999999</v>
      </c>
      <c r="K31" s="214">
        <f>J31/H31*100-100</f>
        <v>14.999999999999986</v>
      </c>
      <c r="L31" s="337">
        <f>I31*1.15</f>
        <v>4903.600919999999</v>
      </c>
      <c r="M31" s="214">
        <f t="shared" si="7"/>
        <v>14.999999999999986</v>
      </c>
      <c r="N31" s="223">
        <f t="shared" si="2"/>
        <v>-99.64821770202295</v>
      </c>
      <c r="O31" s="227">
        <f t="shared" si="13"/>
        <v>0</v>
      </c>
      <c r="P31" s="227"/>
      <c r="Q31" s="25"/>
      <c r="R31" s="7">
        <f>Q31/(F31+1E-106)*100-100</f>
        <v>-100</v>
      </c>
      <c r="S31" s="25"/>
      <c r="T31" s="7">
        <f t="shared" si="8"/>
        <v>-100</v>
      </c>
      <c r="U31" s="7">
        <f>S31/(F31+1E-106)*100-100</f>
        <v>-100</v>
      </c>
      <c r="V31" s="7">
        <f>S31-K31</f>
        <v>-14.999999999999986</v>
      </c>
      <c r="W31" s="395" t="s">
        <v>226</v>
      </c>
      <c r="X31" s="50"/>
      <c r="Z31" s="34"/>
    </row>
    <row r="32" spans="1:26" ht="12" customHeight="1">
      <c r="A32" s="12"/>
      <c r="B32" s="35" t="s">
        <v>40</v>
      </c>
      <c r="C32" s="40" t="s">
        <v>39</v>
      </c>
      <c r="D32" s="141"/>
      <c r="E32" s="229"/>
      <c r="F32" s="141"/>
      <c r="G32" s="229"/>
      <c r="H32" s="230">
        <f>I32</f>
        <v>512.6</v>
      </c>
      <c r="I32" s="337">
        <f>512.6</f>
        <v>512.6</v>
      </c>
      <c r="J32" s="230">
        <f>L32</f>
        <v>589.49</v>
      </c>
      <c r="K32" s="214">
        <f>J32/H32*100-100</f>
        <v>14.999999999999986</v>
      </c>
      <c r="L32" s="337">
        <f>512.6*1.15</f>
        <v>589.49</v>
      </c>
      <c r="M32" s="214">
        <f t="shared" si="7"/>
        <v>14.999999999999986</v>
      </c>
      <c r="N32" s="223">
        <f t="shared" si="2"/>
        <v>-97.07374170893485</v>
      </c>
      <c r="O32" s="223">
        <f t="shared" si="13"/>
        <v>0</v>
      </c>
      <c r="P32" s="223"/>
      <c r="Q32" s="28"/>
      <c r="R32" s="29">
        <f>Q32/(F32+1E-106)*100-100</f>
        <v>-100</v>
      </c>
      <c r="S32" s="28"/>
      <c r="T32" s="29">
        <f t="shared" si="8"/>
        <v>-100</v>
      </c>
      <c r="U32" s="29">
        <f>S32/(F32+1E-106)*100-100</f>
        <v>-100</v>
      </c>
      <c r="V32" s="29">
        <f>S32-K32</f>
        <v>-14.999999999999986</v>
      </c>
      <c r="W32" s="16"/>
      <c r="X32" s="49"/>
      <c r="Y32" s="21"/>
      <c r="Z32" s="22"/>
    </row>
    <row r="33" spans="1:26" ht="12" customHeight="1" hidden="1">
      <c r="A33" s="310" t="s">
        <v>31</v>
      </c>
      <c r="B33" s="4" t="s">
        <v>41</v>
      </c>
      <c r="C33" s="40"/>
      <c r="D33" s="219"/>
      <c r="E33" s="214"/>
      <c r="F33" s="219"/>
      <c r="G33" s="214"/>
      <c r="H33" s="224"/>
      <c r="I33" s="216"/>
      <c r="J33" s="224"/>
      <c r="K33" s="214"/>
      <c r="L33" s="337"/>
      <c r="M33" s="214" t="e">
        <f t="shared" si="7"/>
        <v>#DIV/0!</v>
      </c>
      <c r="N33" s="223"/>
      <c r="O33" s="223"/>
      <c r="P33" s="223"/>
      <c r="Q33" s="28"/>
      <c r="R33" s="29"/>
      <c r="S33" s="28"/>
      <c r="T33" s="29"/>
      <c r="U33" s="29"/>
      <c r="V33" s="29"/>
      <c r="W33" s="16"/>
      <c r="X33" s="49"/>
      <c r="Y33" s="21"/>
      <c r="Z33" s="22"/>
    </row>
    <row r="34" spans="1:26" ht="12" customHeight="1" hidden="1">
      <c r="A34" s="12"/>
      <c r="B34" s="27" t="s">
        <v>33</v>
      </c>
      <c r="C34" s="40" t="s">
        <v>34</v>
      </c>
      <c r="D34" s="141"/>
      <c r="E34" s="214">
        <f>E36*1000*E35/(E10+1E-99)</f>
        <v>0</v>
      </c>
      <c r="F34" s="141"/>
      <c r="G34" s="214">
        <f>G36*1000*G35/(G10+1E-99)</f>
        <v>0</v>
      </c>
      <c r="H34" s="235"/>
      <c r="I34" s="220"/>
      <c r="J34" s="235"/>
      <c r="K34" s="214"/>
      <c r="L34" s="337">
        <f>K34/(I34+1E-133)*100-100</f>
        <v>-100</v>
      </c>
      <c r="M34" s="214" t="e">
        <f t="shared" si="7"/>
        <v>#DIV/0!</v>
      </c>
      <c r="N34" s="223" t="e">
        <f t="shared" si="2"/>
        <v>#DIV/0!</v>
      </c>
      <c r="O34" s="223" t="e">
        <f t="shared" si="13"/>
        <v>#DIV/0!</v>
      </c>
      <c r="P34" s="223"/>
      <c r="Q34" s="28"/>
      <c r="R34" s="29">
        <f>Q34/(F34+1E-106)*100-100</f>
        <v>-100</v>
      </c>
      <c r="S34" s="28"/>
      <c r="T34" s="29">
        <f t="shared" si="8"/>
        <v>-100</v>
      </c>
      <c r="U34" s="29">
        <f>S34/(F34+1E-106)*100-100</f>
        <v>-100</v>
      </c>
      <c r="V34" s="29">
        <f>S34-K34</f>
        <v>0</v>
      </c>
      <c r="W34" s="16"/>
      <c r="X34" s="49"/>
      <c r="Y34" s="21"/>
      <c r="Z34" s="22"/>
    </row>
    <row r="35" spans="1:26" ht="12" customHeight="1" hidden="1">
      <c r="A35" s="12"/>
      <c r="B35" s="27" t="s">
        <v>35</v>
      </c>
      <c r="C35" s="40"/>
      <c r="D35" s="141"/>
      <c r="E35" s="229"/>
      <c r="F35" s="141"/>
      <c r="G35" s="229"/>
      <c r="H35" s="230"/>
      <c r="I35" s="220"/>
      <c r="J35" s="230"/>
      <c r="K35" s="214"/>
      <c r="L35" s="337">
        <f>K35/(I35+1E-133)*100-100</f>
        <v>-100</v>
      </c>
      <c r="M35" s="214" t="e">
        <f t="shared" si="7"/>
        <v>#DIV/0!</v>
      </c>
      <c r="N35" s="223" t="e">
        <f t="shared" si="2"/>
        <v>#DIV/0!</v>
      </c>
      <c r="O35" s="223" t="e">
        <f t="shared" si="13"/>
        <v>#DIV/0!</v>
      </c>
      <c r="P35" s="223"/>
      <c r="Q35" s="28"/>
      <c r="R35" s="29">
        <f>Q35/(F35+1E-106)*100-100</f>
        <v>-100</v>
      </c>
      <c r="S35" s="28"/>
      <c r="T35" s="29">
        <f t="shared" si="8"/>
        <v>-100</v>
      </c>
      <c r="U35" s="29">
        <f>S35/(F35+1E-106)*100-100</f>
        <v>-100</v>
      </c>
      <c r="V35" s="29">
        <f>S35-K35</f>
        <v>0</v>
      </c>
      <c r="W35" s="16"/>
      <c r="X35" s="49"/>
      <c r="Y35" s="21"/>
      <c r="Z35" s="22"/>
    </row>
    <row r="36" spans="1:26" ht="12" customHeight="1" hidden="1">
      <c r="A36" s="12"/>
      <c r="B36" s="13" t="s">
        <v>36</v>
      </c>
      <c r="C36" s="40" t="s">
        <v>42</v>
      </c>
      <c r="D36" s="219">
        <f>D34/(D35+1E-100)*D10/1000</f>
        <v>0</v>
      </c>
      <c r="E36" s="229"/>
      <c r="F36" s="219">
        <f>F34/(F35+1E-100)*F10/1000</f>
        <v>0</v>
      </c>
      <c r="G36" s="229"/>
      <c r="H36" s="235"/>
      <c r="I36" s="216">
        <f>I34/(I35+1E-100)*I10/1000</f>
        <v>0</v>
      </c>
      <c r="J36" s="235"/>
      <c r="K36" s="214"/>
      <c r="L36" s="337">
        <f>K36/(I36+1E-133)*100-100</f>
        <v>-100</v>
      </c>
      <c r="M36" s="214" t="e">
        <f t="shared" si="7"/>
        <v>#DIV/0!</v>
      </c>
      <c r="N36" s="223" t="e">
        <f t="shared" si="2"/>
        <v>#DIV/0!</v>
      </c>
      <c r="O36" s="223" t="e">
        <f t="shared" si="13"/>
        <v>#DIV/0!</v>
      </c>
      <c r="P36" s="223"/>
      <c r="Q36" s="28">
        <f>Q34/(Q35+1E-100)*Q10/1000</f>
        <v>0</v>
      </c>
      <c r="R36" s="29">
        <f>Q36/(F36+1E-106)*100-100</f>
        <v>-100</v>
      </c>
      <c r="S36" s="28">
        <f>S34/(S35+1E-100)*S10/1000</f>
        <v>0</v>
      </c>
      <c r="T36" s="29">
        <f t="shared" si="8"/>
        <v>-100</v>
      </c>
      <c r="U36" s="29">
        <f>S36/(F36+1E-106)*100-100</f>
        <v>-100</v>
      </c>
      <c r="V36" s="29">
        <f>S36-K36</f>
        <v>0</v>
      </c>
      <c r="W36" s="16"/>
      <c r="X36" s="49"/>
      <c r="Y36" s="21"/>
      <c r="Z36" s="22"/>
    </row>
    <row r="37" spans="1:26" s="33" customFormat="1" ht="12" customHeight="1" hidden="1">
      <c r="A37" s="3"/>
      <c r="B37" s="4" t="s">
        <v>38</v>
      </c>
      <c r="C37" s="40" t="s">
        <v>43</v>
      </c>
      <c r="D37" s="220"/>
      <c r="E37" s="224">
        <f>E105/(E36+1E-102)*1000</f>
        <v>0</v>
      </c>
      <c r="F37" s="220"/>
      <c r="G37" s="224">
        <f>G105/(G36+1E-102)*1000</f>
        <v>0</v>
      </c>
      <c r="H37" s="235"/>
      <c r="I37" s="220"/>
      <c r="J37" s="235"/>
      <c r="K37" s="214"/>
      <c r="L37" s="337">
        <f>K37/(I37+1E-133)*100-100</f>
        <v>-100</v>
      </c>
      <c r="M37" s="214" t="e">
        <f t="shared" si="7"/>
        <v>#DIV/0!</v>
      </c>
      <c r="N37" s="223" t="e">
        <f t="shared" si="2"/>
        <v>#DIV/0!</v>
      </c>
      <c r="O37" s="227" t="e">
        <f t="shared" si="13"/>
        <v>#DIV/0!</v>
      </c>
      <c r="P37" s="227"/>
      <c r="Q37" s="25"/>
      <c r="R37" s="7">
        <f>Q37/(F37+1E-106)*100-100</f>
        <v>-100</v>
      </c>
      <c r="S37" s="25"/>
      <c r="T37" s="7">
        <f t="shared" si="8"/>
        <v>-100</v>
      </c>
      <c r="U37" s="7">
        <f>S37/(F37+1E-106)*100-100</f>
        <v>-100</v>
      </c>
      <c r="V37" s="7">
        <f>S37-K37</f>
        <v>0</v>
      </c>
      <c r="W37" s="9"/>
      <c r="X37" s="50"/>
      <c r="Z37" s="34"/>
    </row>
    <row r="38" spans="1:26" ht="12" customHeight="1" hidden="1">
      <c r="A38" s="12"/>
      <c r="B38" s="35" t="s">
        <v>40</v>
      </c>
      <c r="C38" s="40" t="s">
        <v>43</v>
      </c>
      <c r="D38" s="141"/>
      <c r="E38" s="229"/>
      <c r="F38" s="141"/>
      <c r="G38" s="229"/>
      <c r="H38" s="230"/>
      <c r="I38" s="220"/>
      <c r="J38" s="230"/>
      <c r="K38" s="214"/>
      <c r="L38" s="337">
        <f>K38/(I38+1E-133)*100-100</f>
        <v>-100</v>
      </c>
      <c r="M38" s="214" t="e">
        <f t="shared" si="7"/>
        <v>#DIV/0!</v>
      </c>
      <c r="N38" s="223" t="e">
        <f t="shared" si="2"/>
        <v>#DIV/0!</v>
      </c>
      <c r="O38" s="223" t="e">
        <f t="shared" si="13"/>
        <v>#DIV/0!</v>
      </c>
      <c r="P38" s="223"/>
      <c r="Q38" s="28"/>
      <c r="R38" s="29">
        <f>Q38/(F38+1E-106)*100-100</f>
        <v>-100</v>
      </c>
      <c r="S38" s="28"/>
      <c r="T38" s="29">
        <f t="shared" si="8"/>
        <v>-100</v>
      </c>
      <c r="U38" s="29">
        <f>S38/(F38+1E-106)*100-100</f>
        <v>-100</v>
      </c>
      <c r="V38" s="29">
        <f>S38-K38</f>
        <v>0</v>
      </c>
      <c r="W38" s="16"/>
      <c r="X38" s="49"/>
      <c r="Y38" s="21"/>
      <c r="Z38" s="22"/>
    </row>
    <row r="39" spans="1:26" ht="12" customHeight="1" hidden="1">
      <c r="A39" s="310" t="s">
        <v>31</v>
      </c>
      <c r="B39" s="4" t="s">
        <v>44</v>
      </c>
      <c r="C39" s="40"/>
      <c r="D39" s="219"/>
      <c r="E39" s="214"/>
      <c r="F39" s="219"/>
      <c r="G39" s="214"/>
      <c r="H39" s="224"/>
      <c r="I39" s="216"/>
      <c r="J39" s="224"/>
      <c r="K39" s="214"/>
      <c r="L39" s="337"/>
      <c r="M39" s="214" t="e">
        <f t="shared" si="7"/>
        <v>#DIV/0!</v>
      </c>
      <c r="N39" s="223"/>
      <c r="O39" s="223"/>
      <c r="P39" s="223"/>
      <c r="Q39" s="28"/>
      <c r="R39" s="29"/>
      <c r="S39" s="28"/>
      <c r="T39" s="29"/>
      <c r="U39" s="29"/>
      <c r="V39" s="29"/>
      <c r="W39" s="16"/>
      <c r="X39" s="49"/>
      <c r="Y39" s="21"/>
      <c r="Z39" s="22"/>
    </row>
    <row r="40" spans="1:26" ht="12" customHeight="1" hidden="1">
      <c r="A40" s="12"/>
      <c r="B40" s="27" t="s">
        <v>33</v>
      </c>
      <c r="C40" s="40" t="s">
        <v>34</v>
      </c>
      <c r="D40" s="141"/>
      <c r="E40" s="214">
        <f>E42*1000*E41/(E11+1E-97)</f>
        <v>0</v>
      </c>
      <c r="F40" s="141"/>
      <c r="G40" s="214">
        <f>G42*1000*G41/(G11+1E-97)</f>
        <v>0</v>
      </c>
      <c r="H40" s="235"/>
      <c r="I40" s="220"/>
      <c r="J40" s="235"/>
      <c r="K40" s="214"/>
      <c r="L40" s="337">
        <f>K40/(I40+1E-133)*100-100</f>
        <v>-100</v>
      </c>
      <c r="M40" s="214" t="e">
        <f t="shared" si="7"/>
        <v>#DIV/0!</v>
      </c>
      <c r="N40" s="223" t="e">
        <f t="shared" si="2"/>
        <v>#DIV/0!</v>
      </c>
      <c r="O40" s="223" t="e">
        <f t="shared" si="13"/>
        <v>#DIV/0!</v>
      </c>
      <c r="P40" s="223"/>
      <c r="Q40" s="28"/>
      <c r="R40" s="29">
        <f>Q40/(F40+1E-106)*100-100</f>
        <v>-100</v>
      </c>
      <c r="S40" s="28"/>
      <c r="T40" s="29">
        <f t="shared" si="8"/>
        <v>-100</v>
      </c>
      <c r="U40" s="29">
        <f>S40/(F40+1E-106)*100-100</f>
        <v>-100</v>
      </c>
      <c r="V40" s="29">
        <f>S40-K40</f>
        <v>0</v>
      </c>
      <c r="W40" s="16"/>
      <c r="X40" s="49"/>
      <c r="Y40" s="21"/>
      <c r="Z40" s="22"/>
    </row>
    <row r="41" spans="1:26" ht="12" customHeight="1" hidden="1">
      <c r="A41" s="12"/>
      <c r="B41" s="27" t="s">
        <v>35</v>
      </c>
      <c r="C41" s="40"/>
      <c r="D41" s="141"/>
      <c r="E41" s="229"/>
      <c r="F41" s="141"/>
      <c r="G41" s="229"/>
      <c r="H41" s="235"/>
      <c r="I41" s="220"/>
      <c r="J41" s="235"/>
      <c r="K41" s="214"/>
      <c r="L41" s="337">
        <f>K41/(I41+1E-133)*100-100</f>
        <v>-100</v>
      </c>
      <c r="M41" s="214" t="e">
        <f t="shared" si="7"/>
        <v>#DIV/0!</v>
      </c>
      <c r="N41" s="223" t="e">
        <f t="shared" si="2"/>
        <v>#DIV/0!</v>
      </c>
      <c r="O41" s="223" t="e">
        <f t="shared" si="13"/>
        <v>#DIV/0!</v>
      </c>
      <c r="P41" s="223"/>
      <c r="Q41" s="28"/>
      <c r="R41" s="29">
        <f>Q41/(F41+1E-106)*100-100</f>
        <v>-100</v>
      </c>
      <c r="S41" s="28"/>
      <c r="T41" s="29">
        <f t="shared" si="8"/>
        <v>-100</v>
      </c>
      <c r="U41" s="29">
        <f>S41/(F41+1E-106)*100-100</f>
        <v>-100</v>
      </c>
      <c r="V41" s="29">
        <f>S41-K41</f>
        <v>0</v>
      </c>
      <c r="W41" s="16"/>
      <c r="X41" s="49"/>
      <c r="Y41" s="21"/>
      <c r="Z41" s="22"/>
    </row>
    <row r="42" spans="1:26" ht="12" customHeight="1" hidden="1">
      <c r="A42" s="12"/>
      <c r="B42" s="13" t="s">
        <v>36</v>
      </c>
      <c r="C42" s="40" t="s">
        <v>42</v>
      </c>
      <c r="D42" s="219">
        <f>D40/(D41+1E-102)*D11/1000</f>
        <v>0</v>
      </c>
      <c r="E42" s="229"/>
      <c r="F42" s="219">
        <f>F40/(F41+1E-102)*F11/1000</f>
        <v>0</v>
      </c>
      <c r="G42" s="229"/>
      <c r="H42" s="235"/>
      <c r="I42" s="216">
        <f>I40/(I41+1E-102)*I11/1000</f>
        <v>0</v>
      </c>
      <c r="J42" s="235"/>
      <c r="K42" s="214"/>
      <c r="L42" s="337">
        <f>K42/(I42+1E-133)*100-100</f>
        <v>-100</v>
      </c>
      <c r="M42" s="214" t="e">
        <f t="shared" si="7"/>
        <v>#DIV/0!</v>
      </c>
      <c r="N42" s="223" t="e">
        <f t="shared" si="2"/>
        <v>#DIV/0!</v>
      </c>
      <c r="O42" s="223" t="e">
        <f t="shared" si="13"/>
        <v>#DIV/0!</v>
      </c>
      <c r="P42" s="223"/>
      <c r="Q42" s="28">
        <f>Q40/(Q41+1E-102)*Q11/1000</f>
        <v>0</v>
      </c>
      <c r="R42" s="29">
        <f>Q42/(F42+1E-106)*100-100</f>
        <v>-100</v>
      </c>
      <c r="S42" s="28">
        <f>S40/(S41+1E-102)*S11/1000</f>
        <v>0</v>
      </c>
      <c r="T42" s="29">
        <f t="shared" si="8"/>
        <v>-100</v>
      </c>
      <c r="U42" s="29">
        <f>S42/(F42+1E-106)*100-100</f>
        <v>-100</v>
      </c>
      <c r="V42" s="29">
        <f>S42-K42</f>
        <v>0</v>
      </c>
      <c r="W42" s="16"/>
      <c r="X42" s="49"/>
      <c r="Y42" s="21"/>
      <c r="Z42" s="22"/>
    </row>
    <row r="43" spans="1:26" s="33" customFormat="1" ht="12" customHeight="1" hidden="1">
      <c r="A43" s="3"/>
      <c r="B43" s="4" t="s">
        <v>38</v>
      </c>
      <c r="C43" s="40" t="s">
        <v>43</v>
      </c>
      <c r="D43" s="220"/>
      <c r="E43" s="224">
        <f>E106/(E42+1E-103)*1000</f>
        <v>0</v>
      </c>
      <c r="F43" s="220"/>
      <c r="G43" s="224">
        <f>G106/(G42+1E-103)*1000</f>
        <v>0</v>
      </c>
      <c r="H43" s="235"/>
      <c r="I43" s="220"/>
      <c r="J43" s="235"/>
      <c r="K43" s="214"/>
      <c r="L43" s="337">
        <f>K43/(I43+1E-133)*100-100</f>
        <v>-100</v>
      </c>
      <c r="M43" s="214" t="e">
        <f t="shared" si="7"/>
        <v>#DIV/0!</v>
      </c>
      <c r="N43" s="223" t="e">
        <f t="shared" si="2"/>
        <v>#DIV/0!</v>
      </c>
      <c r="O43" s="227" t="e">
        <f t="shared" si="13"/>
        <v>#DIV/0!</v>
      </c>
      <c r="P43" s="227"/>
      <c r="Q43" s="25"/>
      <c r="R43" s="7">
        <f>Q43/(F43+1E-106)*100-100</f>
        <v>-100</v>
      </c>
      <c r="S43" s="25"/>
      <c r="T43" s="7">
        <f t="shared" si="8"/>
        <v>-100</v>
      </c>
      <c r="U43" s="7">
        <f>S43/(F43+1E-106)*100-100</f>
        <v>-100</v>
      </c>
      <c r="V43" s="7">
        <f>S43-K43</f>
        <v>0</v>
      </c>
      <c r="W43" s="9"/>
      <c r="X43" s="50"/>
      <c r="Z43" s="34"/>
    </row>
    <row r="44" spans="1:26" ht="12" customHeight="1" hidden="1">
      <c r="A44" s="12"/>
      <c r="B44" s="35" t="s">
        <v>40</v>
      </c>
      <c r="C44" s="40" t="s">
        <v>43</v>
      </c>
      <c r="D44" s="141"/>
      <c r="E44" s="229"/>
      <c r="F44" s="141"/>
      <c r="G44" s="229"/>
      <c r="H44" s="230"/>
      <c r="I44" s="220"/>
      <c r="J44" s="230"/>
      <c r="K44" s="214"/>
      <c r="L44" s="337">
        <f>K44/(I44+1E-133)*100-100</f>
        <v>-100</v>
      </c>
      <c r="M44" s="214" t="e">
        <f t="shared" si="7"/>
        <v>#DIV/0!</v>
      </c>
      <c r="N44" s="223" t="e">
        <f t="shared" si="2"/>
        <v>#DIV/0!</v>
      </c>
      <c r="O44" s="223" t="e">
        <f t="shared" si="13"/>
        <v>#DIV/0!</v>
      </c>
      <c r="P44" s="217"/>
      <c r="Q44" s="28"/>
      <c r="R44" s="29">
        <f>Q44/(F44+1E-106)*100-100</f>
        <v>-100</v>
      </c>
      <c r="S44" s="28"/>
      <c r="T44" s="29">
        <f t="shared" si="8"/>
        <v>-100</v>
      </c>
      <c r="U44" s="29">
        <f>S44/(F44+1E-106)*100-100</f>
        <v>-100</v>
      </c>
      <c r="V44" s="29">
        <f>S44-K44</f>
        <v>0</v>
      </c>
      <c r="W44" s="16"/>
      <c r="X44" s="49"/>
      <c r="Y44" s="21"/>
      <c r="Z44" s="22"/>
    </row>
    <row r="45" spans="1:26" ht="12" customHeight="1" hidden="1">
      <c r="A45" s="310" t="s">
        <v>31</v>
      </c>
      <c r="B45" s="4" t="s">
        <v>45</v>
      </c>
      <c r="C45" s="40"/>
      <c r="D45" s="219"/>
      <c r="E45" s="214"/>
      <c r="F45" s="219"/>
      <c r="G45" s="214"/>
      <c r="H45" s="224"/>
      <c r="I45" s="216"/>
      <c r="J45" s="224"/>
      <c r="K45" s="214"/>
      <c r="L45" s="337"/>
      <c r="M45" s="214" t="e">
        <f t="shared" si="7"/>
        <v>#DIV/0!</v>
      </c>
      <c r="N45" s="223"/>
      <c r="O45" s="223"/>
      <c r="P45" s="223"/>
      <c r="Q45" s="28"/>
      <c r="R45" s="29"/>
      <c r="S45" s="28"/>
      <c r="T45" s="29"/>
      <c r="U45" s="29"/>
      <c r="V45" s="29"/>
      <c r="W45" s="16"/>
      <c r="X45" s="49"/>
      <c r="Y45" s="21"/>
      <c r="Z45" s="22"/>
    </row>
    <row r="46" spans="1:26" ht="12" customHeight="1" hidden="1">
      <c r="A46" s="12"/>
      <c r="B46" s="27" t="s">
        <v>33</v>
      </c>
      <c r="C46" s="40" t="s">
        <v>34</v>
      </c>
      <c r="D46" s="141"/>
      <c r="E46" s="214">
        <f>E48*1000*E47/(E12+1E-99)</f>
        <v>0</v>
      </c>
      <c r="F46" s="141"/>
      <c r="G46" s="214">
        <f>G48*1000*G47/(G12+1E-99)</f>
        <v>0</v>
      </c>
      <c r="H46" s="235"/>
      <c r="I46" s="220"/>
      <c r="J46" s="235"/>
      <c r="K46" s="214"/>
      <c r="L46" s="337">
        <f>K46/(I46+1E-133)*100-100</f>
        <v>-100</v>
      </c>
      <c r="M46" s="214" t="e">
        <f t="shared" si="7"/>
        <v>#DIV/0!</v>
      </c>
      <c r="N46" s="223" t="e">
        <f t="shared" si="2"/>
        <v>#DIV/0!</v>
      </c>
      <c r="O46" s="223" t="e">
        <f aca="true" t="shared" si="14" ref="O46:O71">M46-K46</f>
        <v>#DIV/0!</v>
      </c>
      <c r="P46" s="223"/>
      <c r="Q46" s="28"/>
      <c r="R46" s="29">
        <f>Q46/(F46+1E-106)*100-100</f>
        <v>-100</v>
      </c>
      <c r="S46" s="28"/>
      <c r="T46" s="29">
        <f t="shared" si="8"/>
        <v>-100</v>
      </c>
      <c r="U46" s="29">
        <f>S46/(F46+1E-106)*100-100</f>
        <v>-100</v>
      </c>
      <c r="V46" s="29">
        <f>S46-K46</f>
        <v>0</v>
      </c>
      <c r="W46" s="16"/>
      <c r="X46" s="49"/>
      <c r="Y46" s="21"/>
      <c r="Z46" s="22"/>
    </row>
    <row r="47" spans="1:26" ht="12" customHeight="1" hidden="1">
      <c r="A47" s="12"/>
      <c r="B47" s="27" t="s">
        <v>35</v>
      </c>
      <c r="C47" s="40"/>
      <c r="D47" s="141"/>
      <c r="E47" s="229"/>
      <c r="F47" s="141"/>
      <c r="G47" s="229"/>
      <c r="H47" s="230"/>
      <c r="I47" s="220"/>
      <c r="J47" s="230"/>
      <c r="K47" s="214"/>
      <c r="L47" s="337">
        <f>K47/(I47+1E-133)*100-100</f>
        <v>-100</v>
      </c>
      <c r="M47" s="214" t="e">
        <f t="shared" si="7"/>
        <v>#DIV/0!</v>
      </c>
      <c r="N47" s="223" t="e">
        <f t="shared" si="2"/>
        <v>#DIV/0!</v>
      </c>
      <c r="O47" s="223" t="e">
        <f t="shared" si="14"/>
        <v>#DIV/0!</v>
      </c>
      <c r="P47" s="217"/>
      <c r="Q47" s="28"/>
      <c r="R47" s="29">
        <f>Q47/(F47+1E-106)*100-100</f>
        <v>-100</v>
      </c>
      <c r="S47" s="28"/>
      <c r="T47" s="29">
        <f t="shared" si="8"/>
        <v>-100</v>
      </c>
      <c r="U47" s="29">
        <f>S47/(F47+1E-106)*100-100</f>
        <v>-100</v>
      </c>
      <c r="V47" s="29">
        <f>S47-K47</f>
        <v>0</v>
      </c>
      <c r="W47" s="16"/>
      <c r="X47" s="49"/>
      <c r="Y47" s="21"/>
      <c r="Z47" s="22"/>
    </row>
    <row r="48" spans="1:26" ht="12" customHeight="1" hidden="1">
      <c r="A48" s="12"/>
      <c r="B48" s="13" t="s">
        <v>36</v>
      </c>
      <c r="C48" s="40" t="s">
        <v>42</v>
      </c>
      <c r="D48" s="219">
        <f>D46/(D47+1E-105)*D12/1000</f>
        <v>0</v>
      </c>
      <c r="E48" s="229"/>
      <c r="F48" s="219">
        <f>F46/(F47+1E-105)*F12/1000</f>
        <v>0</v>
      </c>
      <c r="G48" s="229"/>
      <c r="H48" s="235"/>
      <c r="I48" s="216">
        <f>I46/(I47+1E-105)*I12/1000</f>
        <v>0</v>
      </c>
      <c r="J48" s="235"/>
      <c r="K48" s="214"/>
      <c r="L48" s="337">
        <f>K48/(I48+1E-133)*100-100</f>
        <v>-100</v>
      </c>
      <c r="M48" s="214" t="e">
        <f t="shared" si="7"/>
        <v>#DIV/0!</v>
      </c>
      <c r="N48" s="223" t="e">
        <f t="shared" si="2"/>
        <v>#DIV/0!</v>
      </c>
      <c r="O48" s="223" t="e">
        <f t="shared" si="14"/>
        <v>#DIV/0!</v>
      </c>
      <c r="P48" s="223"/>
      <c r="Q48" s="28">
        <f>Q46/(Q47+1E-105)*Q12/1000</f>
        <v>0</v>
      </c>
      <c r="R48" s="29">
        <f>Q48/(F48+1E-106)*100-100</f>
        <v>-100</v>
      </c>
      <c r="S48" s="28">
        <f>S46/(S47+1E-105)*S12/1000</f>
        <v>0</v>
      </c>
      <c r="T48" s="29">
        <f t="shared" si="8"/>
        <v>-100</v>
      </c>
      <c r="U48" s="29">
        <f>S48/(F48+1E-106)*100-100</f>
        <v>-100</v>
      </c>
      <c r="V48" s="29">
        <f>S48-K48</f>
        <v>0</v>
      </c>
      <c r="W48" s="16"/>
      <c r="X48" s="49"/>
      <c r="Y48" s="21"/>
      <c r="Z48" s="22"/>
    </row>
    <row r="49" spans="1:26" s="33" customFormat="1" ht="12" customHeight="1" hidden="1">
      <c r="A49" s="3"/>
      <c r="B49" s="4" t="s">
        <v>38</v>
      </c>
      <c r="C49" s="40" t="s">
        <v>43</v>
      </c>
      <c r="D49" s="220"/>
      <c r="E49" s="224">
        <f>E107/(E48+1E-102)*1000</f>
        <v>0</v>
      </c>
      <c r="F49" s="220"/>
      <c r="G49" s="224">
        <f>G107/(G48+1E-102)*1000</f>
        <v>0</v>
      </c>
      <c r="H49" s="235"/>
      <c r="I49" s="220"/>
      <c r="J49" s="235"/>
      <c r="K49" s="214"/>
      <c r="L49" s="337">
        <f>K49/(I49+1E-133)*100-100</f>
        <v>-100</v>
      </c>
      <c r="M49" s="214" t="e">
        <f t="shared" si="7"/>
        <v>#DIV/0!</v>
      </c>
      <c r="N49" s="223" t="e">
        <f t="shared" si="2"/>
        <v>#DIV/0!</v>
      </c>
      <c r="O49" s="227" t="e">
        <f t="shared" si="14"/>
        <v>#DIV/0!</v>
      </c>
      <c r="P49" s="227"/>
      <c r="Q49" s="25"/>
      <c r="R49" s="7">
        <f>Q49/(F49+1E-106)*100-100</f>
        <v>-100</v>
      </c>
      <c r="S49" s="25"/>
      <c r="T49" s="7">
        <f t="shared" si="8"/>
        <v>-100</v>
      </c>
      <c r="U49" s="7">
        <f>S49/(F49+1E-106)*100-100</f>
        <v>-100</v>
      </c>
      <c r="V49" s="7">
        <f>S49-K49</f>
        <v>0</v>
      </c>
      <c r="W49" s="9"/>
      <c r="X49" s="50"/>
      <c r="Z49" s="34"/>
    </row>
    <row r="50" spans="1:26" ht="12" customHeight="1" hidden="1">
      <c r="A50" s="12"/>
      <c r="B50" s="35" t="s">
        <v>40</v>
      </c>
      <c r="C50" s="40" t="s">
        <v>43</v>
      </c>
      <c r="D50" s="141"/>
      <c r="E50" s="229"/>
      <c r="F50" s="141"/>
      <c r="G50" s="229"/>
      <c r="H50" s="230"/>
      <c r="I50" s="220"/>
      <c r="J50" s="230"/>
      <c r="K50" s="214"/>
      <c r="L50" s="337">
        <f>K50/(I50+1E-133)*100-100</f>
        <v>-100</v>
      </c>
      <c r="M50" s="214" t="e">
        <f t="shared" si="7"/>
        <v>#DIV/0!</v>
      </c>
      <c r="N50" s="223" t="e">
        <f t="shared" si="2"/>
        <v>#DIV/0!</v>
      </c>
      <c r="O50" s="223" t="e">
        <f t="shared" si="14"/>
        <v>#DIV/0!</v>
      </c>
      <c r="P50" s="217"/>
      <c r="Q50" s="28"/>
      <c r="R50" s="29">
        <f>Q50/(F50+1E-106)*100-100</f>
        <v>-100</v>
      </c>
      <c r="S50" s="28"/>
      <c r="T50" s="29">
        <f t="shared" si="8"/>
        <v>-100</v>
      </c>
      <c r="U50" s="29">
        <f>S50/(F50+1E-106)*100-100</f>
        <v>-100</v>
      </c>
      <c r="V50" s="29">
        <f>S50-K50</f>
        <v>0</v>
      </c>
      <c r="W50" s="16"/>
      <c r="X50" s="49"/>
      <c r="Y50" s="21"/>
      <c r="Z50" s="22"/>
    </row>
    <row r="51" spans="1:26" ht="12" customHeight="1" hidden="1">
      <c r="A51" s="310" t="s">
        <v>31</v>
      </c>
      <c r="B51" s="4" t="s">
        <v>46</v>
      </c>
      <c r="C51" s="40"/>
      <c r="D51" s="219"/>
      <c r="E51" s="214"/>
      <c r="F51" s="219"/>
      <c r="G51" s="214"/>
      <c r="H51" s="224"/>
      <c r="I51" s="216"/>
      <c r="J51" s="224"/>
      <c r="K51" s="214"/>
      <c r="L51" s="337"/>
      <c r="M51" s="214" t="e">
        <f t="shared" si="7"/>
        <v>#DIV/0!</v>
      </c>
      <c r="N51" s="223"/>
      <c r="O51" s="223"/>
      <c r="P51" s="223"/>
      <c r="Q51" s="28"/>
      <c r="R51" s="29"/>
      <c r="S51" s="28"/>
      <c r="T51" s="29"/>
      <c r="U51" s="29"/>
      <c r="V51" s="29"/>
      <c r="W51" s="16"/>
      <c r="X51" s="49"/>
      <c r="Y51" s="21"/>
      <c r="Z51" s="22"/>
    </row>
    <row r="52" spans="1:26" ht="12" customHeight="1" hidden="1">
      <c r="A52" s="12"/>
      <c r="B52" s="27" t="s">
        <v>33</v>
      </c>
      <c r="C52" s="40" t="s">
        <v>34</v>
      </c>
      <c r="D52" s="141"/>
      <c r="E52" s="214">
        <f>E54*1000*E53/(E13+1E-97)</f>
        <v>0</v>
      </c>
      <c r="F52" s="141"/>
      <c r="G52" s="214">
        <f>G54*1000*G53/(G13+1E-97)</f>
        <v>0</v>
      </c>
      <c r="H52" s="235"/>
      <c r="I52" s="220"/>
      <c r="J52" s="235"/>
      <c r="K52" s="214"/>
      <c r="L52" s="337">
        <f>K52/(I52+1E-133)*100-100</f>
        <v>-100</v>
      </c>
      <c r="M52" s="214" t="e">
        <f t="shared" si="7"/>
        <v>#DIV/0!</v>
      </c>
      <c r="N52" s="223" t="e">
        <f t="shared" si="2"/>
        <v>#DIV/0!</v>
      </c>
      <c r="O52" s="223" t="e">
        <f t="shared" si="14"/>
        <v>#DIV/0!</v>
      </c>
      <c r="P52" s="223"/>
      <c r="Q52" s="28"/>
      <c r="R52" s="29">
        <f>Q52/(F52+1E-106)*100-100</f>
        <v>-100</v>
      </c>
      <c r="S52" s="28"/>
      <c r="T52" s="29">
        <f t="shared" si="8"/>
        <v>-100</v>
      </c>
      <c r="U52" s="29">
        <f>S52/(F52+1E-106)*100-100</f>
        <v>-100</v>
      </c>
      <c r="V52" s="29">
        <f>S52-K52</f>
        <v>0</v>
      </c>
      <c r="W52" s="16"/>
      <c r="X52" s="49"/>
      <c r="Y52" s="21"/>
      <c r="Z52" s="22"/>
    </row>
    <row r="53" spans="1:26" ht="12" customHeight="1" hidden="1">
      <c r="A53" s="12"/>
      <c r="B53" s="27" t="s">
        <v>35</v>
      </c>
      <c r="C53" s="40"/>
      <c r="D53" s="141"/>
      <c r="E53" s="229"/>
      <c r="F53" s="141"/>
      <c r="G53" s="229"/>
      <c r="H53" s="230"/>
      <c r="I53" s="220"/>
      <c r="J53" s="230"/>
      <c r="K53" s="214"/>
      <c r="L53" s="337">
        <f>K53/(I53+1E-133)*100-100</f>
        <v>-100</v>
      </c>
      <c r="M53" s="214" t="e">
        <f t="shared" si="7"/>
        <v>#DIV/0!</v>
      </c>
      <c r="N53" s="223" t="e">
        <f t="shared" si="2"/>
        <v>#DIV/0!</v>
      </c>
      <c r="O53" s="223" t="e">
        <f t="shared" si="14"/>
        <v>#DIV/0!</v>
      </c>
      <c r="P53" s="217"/>
      <c r="Q53" s="28"/>
      <c r="R53" s="29">
        <f>Q53/(F53+1E-106)*100-100</f>
        <v>-100</v>
      </c>
      <c r="S53" s="28"/>
      <c r="T53" s="29">
        <f t="shared" si="8"/>
        <v>-100</v>
      </c>
      <c r="U53" s="29">
        <f>S53/(F53+1E-106)*100-100</f>
        <v>-100</v>
      </c>
      <c r="V53" s="29">
        <f>S53-K53</f>
        <v>0</v>
      </c>
      <c r="W53" s="16"/>
      <c r="X53" s="49"/>
      <c r="Y53" s="21"/>
      <c r="Z53" s="22"/>
    </row>
    <row r="54" spans="1:26" ht="12" customHeight="1" hidden="1">
      <c r="A54" s="12"/>
      <c r="B54" s="13" t="s">
        <v>36</v>
      </c>
      <c r="C54" s="40" t="s">
        <v>42</v>
      </c>
      <c r="D54" s="219">
        <f>D52/(D53+1E-101)*D13/1000</f>
        <v>0</v>
      </c>
      <c r="E54" s="229"/>
      <c r="F54" s="219">
        <f>F52/(F53+1E-101)*F13/1000</f>
        <v>0</v>
      </c>
      <c r="G54" s="229"/>
      <c r="H54" s="235"/>
      <c r="I54" s="216">
        <f>I52/(I53+1E-101)*I13/1000</f>
        <v>0</v>
      </c>
      <c r="J54" s="235"/>
      <c r="K54" s="214"/>
      <c r="L54" s="337">
        <f>K54/(I54+1E-133)*100-100</f>
        <v>-100</v>
      </c>
      <c r="M54" s="214" t="e">
        <f t="shared" si="7"/>
        <v>#DIV/0!</v>
      </c>
      <c r="N54" s="223" t="e">
        <f t="shared" si="2"/>
        <v>#DIV/0!</v>
      </c>
      <c r="O54" s="223" t="e">
        <f t="shared" si="14"/>
        <v>#DIV/0!</v>
      </c>
      <c r="P54" s="223"/>
      <c r="Q54" s="28">
        <f>Q52/(Q53+1E-101)*Q13/1000</f>
        <v>0</v>
      </c>
      <c r="R54" s="29">
        <f>Q54/(F54+1E-106)*100-100</f>
        <v>-100</v>
      </c>
      <c r="S54" s="28">
        <f>S52/(S53+1E-101)*S13/1000</f>
        <v>0</v>
      </c>
      <c r="T54" s="29">
        <f t="shared" si="8"/>
        <v>-100</v>
      </c>
      <c r="U54" s="29">
        <f>S54/(F54+1E-106)*100-100</f>
        <v>-100</v>
      </c>
      <c r="V54" s="29">
        <f>S54-K54</f>
        <v>0</v>
      </c>
      <c r="W54" s="16"/>
      <c r="X54" s="49"/>
      <c r="Y54" s="21"/>
      <c r="Z54" s="22"/>
    </row>
    <row r="55" spans="1:26" s="33" customFormat="1" ht="12" customHeight="1" hidden="1">
      <c r="A55" s="3"/>
      <c r="B55" s="4" t="s">
        <v>38</v>
      </c>
      <c r="C55" s="40" t="s">
        <v>43</v>
      </c>
      <c r="D55" s="220"/>
      <c r="E55" s="224">
        <f>E108/(E54+1E-102)*1000</f>
        <v>0</v>
      </c>
      <c r="F55" s="220"/>
      <c r="G55" s="224">
        <f>G108/(G54+1E-102)*1000</f>
        <v>0</v>
      </c>
      <c r="H55" s="230"/>
      <c r="I55" s="220"/>
      <c r="J55" s="230"/>
      <c r="K55" s="214"/>
      <c r="L55" s="337">
        <f>K55/(I55+1E-133)*100-100</f>
        <v>-100</v>
      </c>
      <c r="M55" s="214" t="e">
        <f t="shared" si="7"/>
        <v>#DIV/0!</v>
      </c>
      <c r="N55" s="223" t="e">
        <f t="shared" si="2"/>
        <v>#DIV/0!</v>
      </c>
      <c r="O55" s="227" t="e">
        <f t="shared" si="14"/>
        <v>#DIV/0!</v>
      </c>
      <c r="P55" s="227"/>
      <c r="Q55" s="25"/>
      <c r="R55" s="7">
        <f>Q55/(F55+1E-106)*100-100</f>
        <v>-100</v>
      </c>
      <c r="S55" s="25"/>
      <c r="T55" s="7">
        <f t="shared" si="8"/>
        <v>-100</v>
      </c>
      <c r="U55" s="7">
        <f>S55/(F55+1E-106)*100-100</f>
        <v>-100</v>
      </c>
      <c r="V55" s="7">
        <f>S55-K55</f>
        <v>0</v>
      </c>
      <c r="W55" s="9"/>
      <c r="X55" s="50"/>
      <c r="Z55" s="34"/>
    </row>
    <row r="56" spans="1:26" ht="12" customHeight="1" hidden="1">
      <c r="A56" s="12"/>
      <c r="B56" s="35" t="s">
        <v>40</v>
      </c>
      <c r="C56" s="40" t="s">
        <v>43</v>
      </c>
      <c r="D56" s="141"/>
      <c r="E56" s="229"/>
      <c r="F56" s="141"/>
      <c r="G56" s="229"/>
      <c r="H56" s="230"/>
      <c r="I56" s="220"/>
      <c r="J56" s="230"/>
      <c r="K56" s="214"/>
      <c r="L56" s="337">
        <f>K56/(I56+1E-133)*100-100</f>
        <v>-100</v>
      </c>
      <c r="M56" s="214" t="e">
        <f t="shared" si="7"/>
        <v>#DIV/0!</v>
      </c>
      <c r="N56" s="223" t="e">
        <f t="shared" si="2"/>
        <v>#DIV/0!</v>
      </c>
      <c r="O56" s="223" t="e">
        <f t="shared" si="14"/>
        <v>#DIV/0!</v>
      </c>
      <c r="P56" s="217"/>
      <c r="Q56" s="28"/>
      <c r="R56" s="29">
        <f>Q56/(F56+1E-106)*100-100</f>
        <v>-100</v>
      </c>
      <c r="S56" s="28"/>
      <c r="T56" s="29">
        <f t="shared" si="8"/>
        <v>-100</v>
      </c>
      <c r="U56" s="29">
        <f>S56/(F56+1E-106)*100-100</f>
        <v>-100</v>
      </c>
      <c r="V56" s="29">
        <f>S56-K56</f>
        <v>0</v>
      </c>
      <c r="W56" s="16"/>
      <c r="X56" s="49"/>
      <c r="Y56" s="21"/>
      <c r="Z56" s="22"/>
    </row>
    <row r="57" spans="1:26" ht="12" customHeight="1" hidden="1">
      <c r="A57" s="310" t="s">
        <v>31</v>
      </c>
      <c r="B57" s="4" t="s">
        <v>47</v>
      </c>
      <c r="C57" s="40"/>
      <c r="D57" s="219"/>
      <c r="E57" s="214"/>
      <c r="F57" s="219"/>
      <c r="G57" s="214"/>
      <c r="H57" s="224"/>
      <c r="I57" s="216"/>
      <c r="J57" s="224"/>
      <c r="K57" s="214"/>
      <c r="L57" s="337"/>
      <c r="M57" s="214" t="e">
        <f t="shared" si="7"/>
        <v>#DIV/0!</v>
      </c>
      <c r="N57" s="223"/>
      <c r="O57" s="223"/>
      <c r="P57" s="223"/>
      <c r="Q57" s="28"/>
      <c r="R57" s="29"/>
      <c r="S57" s="28"/>
      <c r="T57" s="29"/>
      <c r="U57" s="29"/>
      <c r="V57" s="29"/>
      <c r="W57" s="16"/>
      <c r="X57" s="49"/>
      <c r="Y57" s="21"/>
      <c r="Z57" s="22"/>
    </row>
    <row r="58" spans="1:26" ht="12" customHeight="1" hidden="1">
      <c r="A58" s="12"/>
      <c r="B58" s="27" t="s">
        <v>33</v>
      </c>
      <c r="C58" s="40" t="s">
        <v>34</v>
      </c>
      <c r="D58" s="141"/>
      <c r="E58" s="214">
        <f>E60*1000*E59/(E14+1E-96)</f>
        <v>0</v>
      </c>
      <c r="F58" s="141"/>
      <c r="G58" s="214">
        <f>G60*1000*G59/(G14+1E-96)</f>
        <v>0</v>
      </c>
      <c r="H58" s="230"/>
      <c r="I58" s="220"/>
      <c r="J58" s="230"/>
      <c r="K58" s="214"/>
      <c r="L58" s="337">
        <f>K58/(I58+1E-133)*100-100</f>
        <v>-100</v>
      </c>
      <c r="M58" s="214" t="e">
        <f t="shared" si="7"/>
        <v>#DIV/0!</v>
      </c>
      <c r="N58" s="223" t="e">
        <f t="shared" si="2"/>
        <v>#DIV/0!</v>
      </c>
      <c r="O58" s="223" t="e">
        <f t="shared" si="14"/>
        <v>#DIV/0!</v>
      </c>
      <c r="P58" s="223"/>
      <c r="Q58" s="28"/>
      <c r="R58" s="29">
        <f>Q58/(F58+1E-106)*100-100</f>
        <v>-100</v>
      </c>
      <c r="S58" s="28"/>
      <c r="T58" s="29">
        <f t="shared" si="8"/>
        <v>-100</v>
      </c>
      <c r="U58" s="29">
        <f>S58/(F58+1E-106)*100-100</f>
        <v>-100</v>
      </c>
      <c r="V58" s="29">
        <f>S58-K58</f>
        <v>0</v>
      </c>
      <c r="W58" s="16"/>
      <c r="X58" s="49"/>
      <c r="Y58" s="21"/>
      <c r="Z58" s="22"/>
    </row>
    <row r="59" spans="1:26" ht="12" customHeight="1" hidden="1">
      <c r="A59" s="12"/>
      <c r="B59" s="27" t="s">
        <v>35</v>
      </c>
      <c r="C59" s="40"/>
      <c r="D59" s="141"/>
      <c r="E59" s="229"/>
      <c r="F59" s="141"/>
      <c r="G59" s="229"/>
      <c r="H59" s="224"/>
      <c r="I59" s="220"/>
      <c r="J59" s="224"/>
      <c r="K59" s="214"/>
      <c r="L59" s="337">
        <f>K59/(I59+1E-133)*100-100</f>
        <v>-100</v>
      </c>
      <c r="M59" s="214" t="e">
        <f t="shared" si="7"/>
        <v>#DIV/0!</v>
      </c>
      <c r="N59" s="223" t="e">
        <f t="shared" si="2"/>
        <v>#DIV/0!</v>
      </c>
      <c r="O59" s="223" t="e">
        <f t="shared" si="14"/>
        <v>#DIV/0!</v>
      </c>
      <c r="P59" s="217"/>
      <c r="Q59" s="28"/>
      <c r="R59" s="29">
        <f>Q59/(F59+1E-106)*100-100</f>
        <v>-100</v>
      </c>
      <c r="S59" s="28"/>
      <c r="T59" s="29">
        <f t="shared" si="8"/>
        <v>-100</v>
      </c>
      <c r="U59" s="29">
        <f>S59/(F59+1E-106)*100-100</f>
        <v>-100</v>
      </c>
      <c r="V59" s="29">
        <f>S59-K59</f>
        <v>0</v>
      </c>
      <c r="W59" s="16"/>
      <c r="X59" s="49"/>
      <c r="Y59" s="21"/>
      <c r="Z59" s="22"/>
    </row>
    <row r="60" spans="1:26" ht="12" customHeight="1" hidden="1">
      <c r="A60" s="12"/>
      <c r="B60" s="13" t="s">
        <v>36</v>
      </c>
      <c r="C60" s="40" t="s">
        <v>42</v>
      </c>
      <c r="D60" s="219">
        <f>D58/(D59+1E-101)*D14/1000</f>
        <v>0</v>
      </c>
      <c r="E60" s="229"/>
      <c r="F60" s="219">
        <f>F58/(F59+1E-101)*F14/1000</f>
        <v>0</v>
      </c>
      <c r="G60" s="229"/>
      <c r="H60" s="235"/>
      <c r="I60" s="216">
        <f>I58/(I59+1E-101)*I14/1000</f>
        <v>0</v>
      </c>
      <c r="J60" s="235"/>
      <c r="K60" s="214"/>
      <c r="L60" s="337">
        <f>K60/(I60+1E-133)*100-100</f>
        <v>-100</v>
      </c>
      <c r="M60" s="214" t="e">
        <f t="shared" si="7"/>
        <v>#DIV/0!</v>
      </c>
      <c r="N60" s="223" t="e">
        <f t="shared" si="2"/>
        <v>#DIV/0!</v>
      </c>
      <c r="O60" s="223" t="e">
        <f t="shared" si="14"/>
        <v>#DIV/0!</v>
      </c>
      <c r="P60" s="223"/>
      <c r="Q60" s="28">
        <f>Q58/(Q59+1E-101)*Q14/1000</f>
        <v>0</v>
      </c>
      <c r="R60" s="29">
        <f>Q60/(F60+1E-106)*100-100</f>
        <v>-100</v>
      </c>
      <c r="S60" s="28">
        <f>S58/(S59+1E-101)*S14/1000</f>
        <v>0</v>
      </c>
      <c r="T60" s="29">
        <f t="shared" si="8"/>
        <v>-100</v>
      </c>
      <c r="U60" s="29">
        <f>S60/(F60+1E-106)*100-100</f>
        <v>-100</v>
      </c>
      <c r="V60" s="29">
        <f>S60-K60</f>
        <v>0</v>
      </c>
      <c r="W60" s="16"/>
      <c r="X60" s="49"/>
      <c r="Y60" s="21"/>
      <c r="Z60" s="22"/>
    </row>
    <row r="61" spans="1:26" s="33" customFormat="1" ht="12" customHeight="1" hidden="1">
      <c r="A61" s="3"/>
      <c r="B61" s="4" t="s">
        <v>38</v>
      </c>
      <c r="C61" s="40" t="s">
        <v>43</v>
      </c>
      <c r="D61" s="220"/>
      <c r="E61" s="224">
        <f>E109/(E60+1E-102)*1000</f>
        <v>0</v>
      </c>
      <c r="F61" s="220"/>
      <c r="G61" s="224">
        <f>G109/(G60+1E-102)*1000</f>
        <v>0</v>
      </c>
      <c r="H61" s="235"/>
      <c r="I61" s="220"/>
      <c r="J61" s="235"/>
      <c r="K61" s="214"/>
      <c r="L61" s="337">
        <f>K61/(I61+1E-133)*100-100</f>
        <v>-100</v>
      </c>
      <c r="M61" s="214" t="e">
        <f t="shared" si="7"/>
        <v>#DIV/0!</v>
      </c>
      <c r="N61" s="223" t="e">
        <f t="shared" si="2"/>
        <v>#DIV/0!</v>
      </c>
      <c r="O61" s="227" t="e">
        <f t="shared" si="14"/>
        <v>#DIV/0!</v>
      </c>
      <c r="P61" s="226"/>
      <c r="Q61" s="25"/>
      <c r="R61" s="7">
        <f>Q61/(F61+1E-106)*100-100</f>
        <v>-100</v>
      </c>
      <c r="S61" s="25"/>
      <c r="T61" s="7">
        <f t="shared" si="8"/>
        <v>-100</v>
      </c>
      <c r="U61" s="7">
        <f>S61/(F61+1E-106)*100-100</f>
        <v>-100</v>
      </c>
      <c r="V61" s="7">
        <f>S61-K61</f>
        <v>0</v>
      </c>
      <c r="W61" s="9"/>
      <c r="X61" s="50"/>
      <c r="Z61" s="34"/>
    </row>
    <row r="62" spans="1:26" ht="12" customHeight="1" hidden="1">
      <c r="A62" s="12"/>
      <c r="B62" s="35" t="s">
        <v>40</v>
      </c>
      <c r="C62" s="40" t="s">
        <v>43</v>
      </c>
      <c r="D62" s="141"/>
      <c r="E62" s="229"/>
      <c r="F62" s="141"/>
      <c r="G62" s="229"/>
      <c r="H62" s="230"/>
      <c r="I62" s="220"/>
      <c r="J62" s="230"/>
      <c r="K62" s="214"/>
      <c r="L62" s="337">
        <f>K62/(I62+1E-133)*100-100</f>
        <v>-100</v>
      </c>
      <c r="M62" s="214" t="e">
        <f t="shared" si="7"/>
        <v>#DIV/0!</v>
      </c>
      <c r="N62" s="223" t="e">
        <f t="shared" si="2"/>
        <v>#DIV/0!</v>
      </c>
      <c r="O62" s="223" t="e">
        <f t="shared" si="14"/>
        <v>#DIV/0!</v>
      </c>
      <c r="P62" s="217"/>
      <c r="Q62" s="28"/>
      <c r="R62" s="29">
        <f>Q62/(F62+1E-106)*100-100</f>
        <v>-100</v>
      </c>
      <c r="S62" s="28"/>
      <c r="T62" s="29">
        <f t="shared" si="8"/>
        <v>-100</v>
      </c>
      <c r="U62" s="29">
        <f>S62/(F62+1E-106)*100-100</f>
        <v>-100</v>
      </c>
      <c r="V62" s="29">
        <f>S62-K62</f>
        <v>0</v>
      </c>
      <c r="W62" s="16"/>
      <c r="X62" s="49"/>
      <c r="Y62" s="21"/>
      <c r="Z62" s="22"/>
    </row>
    <row r="63" spans="1:26" ht="12" customHeight="1" hidden="1">
      <c r="A63" s="310" t="s">
        <v>31</v>
      </c>
      <c r="B63" s="4" t="s">
        <v>48</v>
      </c>
      <c r="C63" s="40"/>
      <c r="D63" s="219"/>
      <c r="E63" s="214"/>
      <c r="F63" s="219"/>
      <c r="G63" s="214"/>
      <c r="H63" s="224"/>
      <c r="I63" s="216"/>
      <c r="J63" s="224"/>
      <c r="K63" s="214"/>
      <c r="L63" s="337"/>
      <c r="M63" s="214" t="e">
        <f t="shared" si="7"/>
        <v>#DIV/0!</v>
      </c>
      <c r="N63" s="223"/>
      <c r="O63" s="223"/>
      <c r="P63" s="223"/>
      <c r="Q63" s="28"/>
      <c r="R63" s="29"/>
      <c r="S63" s="28"/>
      <c r="T63" s="29"/>
      <c r="U63" s="29"/>
      <c r="V63" s="29"/>
      <c r="W63" s="16"/>
      <c r="X63" s="49"/>
      <c r="Y63" s="21"/>
      <c r="Z63" s="22"/>
    </row>
    <row r="64" spans="1:26" ht="12" customHeight="1" hidden="1">
      <c r="A64" s="12"/>
      <c r="B64" s="27" t="s">
        <v>33</v>
      </c>
      <c r="C64" s="40" t="s">
        <v>34</v>
      </c>
      <c r="D64" s="141"/>
      <c r="E64" s="214">
        <f>E66*1000*E65/(E15+1E-98)</f>
        <v>0</v>
      </c>
      <c r="F64" s="141"/>
      <c r="G64" s="214">
        <f>G66*1000*G65/(G15+1E-98)</f>
        <v>0</v>
      </c>
      <c r="H64" s="230"/>
      <c r="I64" s="220"/>
      <c r="J64" s="230"/>
      <c r="K64" s="214"/>
      <c r="L64" s="337">
        <f>K64/(I64+1E-133)*100-100</f>
        <v>-100</v>
      </c>
      <c r="M64" s="214" t="e">
        <f t="shared" si="7"/>
        <v>#DIV/0!</v>
      </c>
      <c r="N64" s="223" t="e">
        <f t="shared" si="2"/>
        <v>#DIV/0!</v>
      </c>
      <c r="O64" s="223" t="e">
        <f t="shared" si="14"/>
        <v>#DIV/0!</v>
      </c>
      <c r="P64" s="217"/>
      <c r="Q64" s="28"/>
      <c r="R64" s="29">
        <f>Q64/(F64+1E-106)*100-100</f>
        <v>-100</v>
      </c>
      <c r="S64" s="28"/>
      <c r="T64" s="29">
        <f t="shared" si="8"/>
        <v>-100</v>
      </c>
      <c r="U64" s="29">
        <f>S64/(F64+1E-106)*100-100</f>
        <v>-100</v>
      </c>
      <c r="V64" s="29">
        <f aca="true" t="shared" si="15" ref="V64:V97">S64-K64</f>
        <v>0</v>
      </c>
      <c r="W64" s="16"/>
      <c r="X64" s="49"/>
      <c r="Y64" s="21"/>
      <c r="Z64" s="22"/>
    </row>
    <row r="65" spans="1:26" ht="12" customHeight="1" hidden="1">
      <c r="A65" s="12"/>
      <c r="B65" s="27" t="s">
        <v>35</v>
      </c>
      <c r="C65" s="40"/>
      <c r="D65" s="141"/>
      <c r="E65" s="229"/>
      <c r="F65" s="141"/>
      <c r="G65" s="229"/>
      <c r="H65" s="230"/>
      <c r="I65" s="220"/>
      <c r="J65" s="230"/>
      <c r="K65" s="214"/>
      <c r="L65" s="337">
        <f>K65/(I65+1E-133)*100-100</f>
        <v>-100</v>
      </c>
      <c r="M65" s="214" t="e">
        <f t="shared" si="7"/>
        <v>#DIV/0!</v>
      </c>
      <c r="N65" s="223" t="e">
        <f t="shared" si="2"/>
        <v>#DIV/0!</v>
      </c>
      <c r="O65" s="223" t="e">
        <f t="shared" si="14"/>
        <v>#DIV/0!</v>
      </c>
      <c r="P65" s="217"/>
      <c r="Q65" s="28"/>
      <c r="R65" s="29"/>
      <c r="S65" s="28"/>
      <c r="T65" s="29">
        <f t="shared" si="8"/>
        <v>-100</v>
      </c>
      <c r="U65" s="29">
        <f>S65/(F65+1E-106)*100-100</f>
        <v>-100</v>
      </c>
      <c r="V65" s="29">
        <f t="shared" si="15"/>
        <v>0</v>
      </c>
      <c r="W65" s="16"/>
      <c r="X65" s="49"/>
      <c r="Y65" s="21"/>
      <c r="Z65" s="22"/>
    </row>
    <row r="66" spans="1:26" ht="12" customHeight="1" hidden="1">
      <c r="A66" s="12"/>
      <c r="B66" s="13" t="s">
        <v>36</v>
      </c>
      <c r="C66" s="40" t="s">
        <v>42</v>
      </c>
      <c r="D66" s="219">
        <f>D64/(D65+1E-97)*D15/1000</f>
        <v>0</v>
      </c>
      <c r="E66" s="229"/>
      <c r="F66" s="219">
        <f>F64/(F65+1E-97)*F15/1000</f>
        <v>0</v>
      </c>
      <c r="G66" s="229"/>
      <c r="H66" s="235"/>
      <c r="I66" s="216">
        <f>I64/(I65+1E-97)*I15/1000</f>
        <v>0</v>
      </c>
      <c r="J66" s="235"/>
      <c r="K66" s="214"/>
      <c r="L66" s="337">
        <f>K66/(I66+1E-133)*100-100</f>
        <v>-100</v>
      </c>
      <c r="M66" s="214" t="e">
        <f t="shared" si="7"/>
        <v>#DIV/0!</v>
      </c>
      <c r="N66" s="223" t="e">
        <f t="shared" si="2"/>
        <v>#DIV/0!</v>
      </c>
      <c r="O66" s="223" t="e">
        <f t="shared" si="14"/>
        <v>#DIV/0!</v>
      </c>
      <c r="P66" s="223"/>
      <c r="Q66" s="28">
        <f>Q64/(Q65+1E-97)*Q15/1000</f>
        <v>0</v>
      </c>
      <c r="R66" s="29">
        <f>Q66/(F66+1E-106)*100-100</f>
        <v>-100</v>
      </c>
      <c r="S66" s="28">
        <f>S64/(S65+1E-97)*S15/1000</f>
        <v>0</v>
      </c>
      <c r="T66" s="29">
        <f t="shared" si="8"/>
        <v>-100</v>
      </c>
      <c r="U66" s="29">
        <f>S66/(F66+1E-106)*100-100</f>
        <v>-100</v>
      </c>
      <c r="V66" s="29">
        <f t="shared" si="15"/>
        <v>0</v>
      </c>
      <c r="W66" s="16"/>
      <c r="X66" s="49"/>
      <c r="Y66" s="21"/>
      <c r="Z66" s="22"/>
    </row>
    <row r="67" spans="1:26" s="33" customFormat="1" ht="12" customHeight="1" hidden="1">
      <c r="A67" s="3"/>
      <c r="B67" s="4" t="s">
        <v>38</v>
      </c>
      <c r="C67" s="40" t="s">
        <v>43</v>
      </c>
      <c r="D67" s="220"/>
      <c r="E67" s="224">
        <f>E110/(E66+1E-102)*1000</f>
        <v>0</v>
      </c>
      <c r="F67" s="220"/>
      <c r="G67" s="224">
        <f>G110/(G66+1E-102)*1000</f>
        <v>0</v>
      </c>
      <c r="H67" s="235"/>
      <c r="I67" s="220"/>
      <c r="J67" s="235"/>
      <c r="K67" s="214"/>
      <c r="L67" s="337">
        <f>K67/(I67+1E-133)*100-100</f>
        <v>-100</v>
      </c>
      <c r="M67" s="214" t="e">
        <f t="shared" si="7"/>
        <v>#DIV/0!</v>
      </c>
      <c r="N67" s="223" t="e">
        <f t="shared" si="2"/>
        <v>#DIV/0!</v>
      </c>
      <c r="O67" s="227" t="e">
        <f t="shared" si="14"/>
        <v>#DIV/0!</v>
      </c>
      <c r="P67" s="226"/>
      <c r="Q67" s="25"/>
      <c r="R67" s="7">
        <f>Q67/(F67+1E-106)*100-100</f>
        <v>-100</v>
      </c>
      <c r="S67" s="25"/>
      <c r="T67" s="7">
        <f t="shared" si="8"/>
        <v>-100</v>
      </c>
      <c r="U67" s="7">
        <f>S67/(F67+1E-106)*100-100</f>
        <v>-100</v>
      </c>
      <c r="V67" s="7">
        <f t="shared" si="15"/>
        <v>0</v>
      </c>
      <c r="W67" s="9"/>
      <c r="X67" s="50"/>
      <c r="Z67" s="34"/>
    </row>
    <row r="68" spans="1:26" ht="12" customHeight="1" hidden="1">
      <c r="A68" s="12"/>
      <c r="B68" s="35" t="s">
        <v>40</v>
      </c>
      <c r="C68" s="40" t="s">
        <v>43</v>
      </c>
      <c r="D68" s="141"/>
      <c r="E68" s="229"/>
      <c r="F68" s="141"/>
      <c r="G68" s="229"/>
      <c r="H68" s="230"/>
      <c r="I68" s="220"/>
      <c r="J68" s="230"/>
      <c r="K68" s="214"/>
      <c r="L68" s="337">
        <f>K68/(I68+1E-133)*100-100</f>
        <v>-100</v>
      </c>
      <c r="M68" s="214" t="e">
        <f t="shared" si="7"/>
        <v>#DIV/0!</v>
      </c>
      <c r="N68" s="223" t="e">
        <f t="shared" si="2"/>
        <v>#DIV/0!</v>
      </c>
      <c r="O68" s="223" t="e">
        <f t="shared" si="14"/>
        <v>#DIV/0!</v>
      </c>
      <c r="P68" s="217"/>
      <c r="Q68" s="28"/>
      <c r="R68" s="29">
        <f>Q68/(F68+1E-106)*100-100</f>
        <v>-100</v>
      </c>
      <c r="S68" s="28"/>
      <c r="T68" s="29">
        <f t="shared" si="8"/>
        <v>-100</v>
      </c>
      <c r="U68" s="29">
        <f>S68/(F68+1E-106)*100-100</f>
        <v>-100</v>
      </c>
      <c r="V68" s="29">
        <f t="shared" si="15"/>
        <v>0</v>
      </c>
      <c r="W68" s="16"/>
      <c r="X68" s="49"/>
      <c r="Y68" s="21"/>
      <c r="Z68" s="22"/>
    </row>
    <row r="69" spans="1:26" ht="12" customHeight="1">
      <c r="A69" s="311">
        <v>8</v>
      </c>
      <c r="B69" s="52" t="s">
        <v>49</v>
      </c>
      <c r="C69" s="165"/>
      <c r="D69" s="216"/>
      <c r="E69" s="216"/>
      <c r="F69" s="216"/>
      <c r="G69" s="216"/>
      <c r="H69" s="216"/>
      <c r="I69" s="216"/>
      <c r="J69" s="216"/>
      <c r="K69" s="336"/>
      <c r="L69" s="337"/>
      <c r="M69" s="336"/>
      <c r="N69" s="216"/>
      <c r="O69" s="216"/>
      <c r="P69" s="216"/>
      <c r="Q69" s="164"/>
      <c r="R69" s="164"/>
      <c r="S69" s="164"/>
      <c r="T69" s="164"/>
      <c r="U69" s="164"/>
      <c r="V69" s="164">
        <f t="shared" si="15"/>
        <v>0</v>
      </c>
      <c r="W69" s="55"/>
      <c r="X69" s="49"/>
      <c r="Y69" s="21"/>
      <c r="Z69" s="22"/>
    </row>
    <row r="70" spans="1:26" ht="12" customHeight="1">
      <c r="A70" s="3" t="s">
        <v>31</v>
      </c>
      <c r="B70" s="13" t="s">
        <v>50</v>
      </c>
      <c r="C70" s="40"/>
      <c r="D70" s="219">
        <f>D71*1000/(D8+1E-113)</f>
        <v>0</v>
      </c>
      <c r="E70" s="214">
        <f>E71*1000/(E8+1E-113)</f>
        <v>0</v>
      </c>
      <c r="F70" s="219">
        <f>F71*1000/(F8+1E-113)</f>
        <v>0</v>
      </c>
      <c r="G70" s="214">
        <f>G71*1000/(G8+1E-113)</f>
        <v>0</v>
      </c>
      <c r="H70" s="214">
        <f>H71/H8*1000</f>
        <v>17.684887459807076</v>
      </c>
      <c r="I70" s="216">
        <f>I71/I8*1000</f>
        <v>15.220749928467077</v>
      </c>
      <c r="J70" s="214">
        <f>J71/J8*1000</f>
        <v>19.807073954983924</v>
      </c>
      <c r="K70" s="214">
        <f>J70/H70*100-100</f>
        <v>11.999999999999986</v>
      </c>
      <c r="L70" s="216">
        <f>L71/L8*1000</f>
        <v>15.220749928467077</v>
      </c>
      <c r="M70" s="214">
        <f t="shared" si="7"/>
        <v>0</v>
      </c>
      <c r="N70" s="223">
        <f t="shared" si="2"/>
        <v>-100</v>
      </c>
      <c r="O70" s="223">
        <f t="shared" si="14"/>
        <v>-11.999999999999986</v>
      </c>
      <c r="P70" s="223"/>
      <c r="Q70" s="28" t="e">
        <f>Q71*1000/(Q8+1E-113)</f>
        <v>#REF!</v>
      </c>
      <c r="R70" s="29" t="e">
        <f>Q70/(F70+1E-106)*100-100</f>
        <v>#REF!</v>
      </c>
      <c r="S70" s="28" t="e">
        <f>S71*1000/(S8+1E-113)</f>
        <v>#REF!</v>
      </c>
      <c r="T70" s="29" t="e">
        <f t="shared" si="8"/>
        <v>#REF!</v>
      </c>
      <c r="U70" s="29" t="e">
        <f aca="true" t="shared" si="16" ref="U70:U96">S70/(F70+1E-106)*100-100</f>
        <v>#REF!</v>
      </c>
      <c r="V70" s="29" t="e">
        <f t="shared" si="15"/>
        <v>#REF!</v>
      </c>
      <c r="W70" s="16"/>
      <c r="X70" s="49"/>
      <c r="Y70" s="21"/>
      <c r="Z70" s="22"/>
    </row>
    <row r="71" spans="1:26" s="33" customFormat="1" ht="12" customHeight="1">
      <c r="A71" s="3" t="s">
        <v>31</v>
      </c>
      <c r="B71" s="4" t="s">
        <v>170</v>
      </c>
      <c r="C71" s="40" t="s">
        <v>51</v>
      </c>
      <c r="D71" s="216">
        <f aca="true" t="shared" si="17" ref="D71:I71">D74+D80+D86+D92</f>
        <v>0</v>
      </c>
      <c r="E71" s="224">
        <f t="shared" si="17"/>
        <v>0</v>
      </c>
      <c r="F71" s="216">
        <f t="shared" si="17"/>
        <v>0</v>
      </c>
      <c r="G71" s="224">
        <f t="shared" si="17"/>
        <v>0</v>
      </c>
      <c r="H71" s="235">
        <v>3.3</v>
      </c>
      <c r="I71" s="216">
        <f t="shared" si="17"/>
        <v>2.8</v>
      </c>
      <c r="J71" s="235">
        <f>H71*1.12</f>
        <v>3.696</v>
      </c>
      <c r="K71" s="214">
        <f>J71/H71*100-100</f>
        <v>12.000000000000014</v>
      </c>
      <c r="L71" s="337">
        <f>I71</f>
        <v>2.8</v>
      </c>
      <c r="M71" s="214">
        <f t="shared" si="7"/>
        <v>0</v>
      </c>
      <c r="N71" s="223">
        <f t="shared" si="2"/>
        <v>-100</v>
      </c>
      <c r="O71" s="227">
        <f t="shared" si="14"/>
        <v>-12.000000000000014</v>
      </c>
      <c r="P71" s="227"/>
      <c r="Q71" s="25" t="e">
        <f>#REF!+#REF!+#REF!+#REF!</f>
        <v>#REF!</v>
      </c>
      <c r="R71" s="7" t="e">
        <f>Q71/(F71+1E-106)*100-100</f>
        <v>#REF!</v>
      </c>
      <c r="S71" s="25" t="e">
        <f>#REF!+#REF!+#REF!+#REF!</f>
        <v>#REF!</v>
      </c>
      <c r="T71" s="7" t="e">
        <f t="shared" si="8"/>
        <v>#REF!</v>
      </c>
      <c r="U71" s="7" t="e">
        <f t="shared" si="16"/>
        <v>#REF!</v>
      </c>
      <c r="V71" s="7" t="e">
        <f t="shared" si="15"/>
        <v>#REF!</v>
      </c>
      <c r="W71" s="8"/>
      <c r="X71" s="50"/>
      <c r="Z71" s="34"/>
    </row>
    <row r="72" spans="1:26" ht="12" customHeight="1">
      <c r="A72" s="3"/>
      <c r="B72" s="4" t="s">
        <v>57</v>
      </c>
      <c r="C72" s="40"/>
      <c r="D72" s="141"/>
      <c r="E72" s="229"/>
      <c r="F72" s="141"/>
      <c r="G72" s="229"/>
      <c r="H72" s="230"/>
      <c r="I72" s="220"/>
      <c r="J72" s="230"/>
      <c r="K72" s="214"/>
      <c r="L72" s="337"/>
      <c r="M72" s="214"/>
      <c r="N72" s="223">
        <f>M72/(I72+1E-106)*100-100</f>
        <v>-100</v>
      </c>
      <c r="O72" s="223"/>
      <c r="P72" s="217"/>
      <c r="Q72" s="255"/>
      <c r="R72" s="256"/>
      <c r="S72" s="255"/>
      <c r="T72" s="256">
        <f t="shared" si="8"/>
        <v>-100</v>
      </c>
      <c r="U72" s="256">
        <f t="shared" si="16"/>
        <v>-100</v>
      </c>
      <c r="V72" s="250">
        <f t="shared" si="15"/>
        <v>0</v>
      </c>
      <c r="W72" s="256"/>
      <c r="X72" s="49"/>
      <c r="Y72" s="21"/>
      <c r="Z72" s="22"/>
    </row>
    <row r="73" spans="1:26" ht="12" customHeight="1">
      <c r="A73" s="310" t="s">
        <v>31</v>
      </c>
      <c r="B73" s="4" t="s">
        <v>52</v>
      </c>
      <c r="C73" s="40"/>
      <c r="D73" s="219"/>
      <c r="E73" s="214"/>
      <c r="F73" s="219"/>
      <c r="G73" s="214"/>
      <c r="H73" s="224"/>
      <c r="I73" s="216"/>
      <c r="J73" s="224"/>
      <c r="K73" s="214"/>
      <c r="L73" s="337"/>
      <c r="M73" s="214"/>
      <c r="N73" s="223"/>
      <c r="O73" s="223"/>
      <c r="P73" s="217"/>
      <c r="Q73" s="257"/>
      <c r="R73" s="250"/>
      <c r="S73" s="257"/>
      <c r="T73" s="256">
        <f aca="true" t="shared" si="18" ref="T73:T127">S73/(Q73+1E-106)*100-100</f>
        <v>-100</v>
      </c>
      <c r="U73" s="256">
        <f t="shared" si="16"/>
        <v>-100</v>
      </c>
      <c r="V73" s="250">
        <f t="shared" si="15"/>
        <v>0</v>
      </c>
      <c r="W73" s="250"/>
      <c r="X73" s="49"/>
      <c r="Y73" s="21"/>
      <c r="Z73" s="22"/>
    </row>
    <row r="74" spans="1:26" ht="12" customHeight="1">
      <c r="A74" s="12"/>
      <c r="B74" s="13" t="s">
        <v>58</v>
      </c>
      <c r="C74" s="40" t="s">
        <v>51</v>
      </c>
      <c r="D74" s="141"/>
      <c r="E74" s="229"/>
      <c r="F74" s="141"/>
      <c r="G74" s="229"/>
      <c r="H74" s="230">
        <v>3.3</v>
      </c>
      <c r="I74" s="220">
        <v>2.8</v>
      </c>
      <c r="J74" s="230">
        <v>3.3</v>
      </c>
      <c r="K74" s="214">
        <f aca="true" t="shared" si="19" ref="K74:K133">J74/H74*100-100</f>
        <v>0</v>
      </c>
      <c r="L74" s="337">
        <f>I74</f>
        <v>2.8</v>
      </c>
      <c r="M74" s="214">
        <f aca="true" t="shared" si="20" ref="M74:M133">L74/I74*100-100</f>
        <v>0</v>
      </c>
      <c r="N74" s="223">
        <f aca="true" t="shared" si="21" ref="N74:N127">M74/(I74+1E-106)*100-100</f>
        <v>-100</v>
      </c>
      <c r="O74" s="223">
        <f>M74-K74</f>
        <v>0</v>
      </c>
      <c r="P74" s="217"/>
      <c r="Q74" s="257"/>
      <c r="R74" s="250">
        <f>Q74/(F74+1E-106)*100-100</f>
        <v>-100</v>
      </c>
      <c r="S74" s="257"/>
      <c r="T74" s="256">
        <f t="shared" si="18"/>
        <v>-100</v>
      </c>
      <c r="U74" s="256">
        <f t="shared" si="16"/>
        <v>-100</v>
      </c>
      <c r="V74" s="250">
        <f t="shared" si="15"/>
        <v>0</v>
      </c>
      <c r="W74" s="250"/>
      <c r="X74" s="49"/>
      <c r="Y74" s="21"/>
      <c r="Z74" s="22"/>
    </row>
    <row r="75" spans="1:26" s="33" customFormat="1" ht="12" customHeight="1">
      <c r="A75" s="3"/>
      <c r="B75" s="4" t="s">
        <v>59</v>
      </c>
      <c r="C75" s="40" t="s">
        <v>60</v>
      </c>
      <c r="D75" s="220"/>
      <c r="E75" s="227">
        <f>(E112-E77*12*E78)/(E74+1E-107)</f>
        <v>0</v>
      </c>
      <c r="F75" s="220"/>
      <c r="G75" s="227">
        <f>(G112-G77*12*G78)/(G74+1E-107)</f>
        <v>0</v>
      </c>
      <c r="H75" s="235">
        <v>4.53</v>
      </c>
      <c r="I75" s="220">
        <f>1.18*3.19538</f>
        <v>3.7705484</v>
      </c>
      <c r="J75" s="235">
        <f>1.12*4.53</f>
        <v>5.073600000000001</v>
      </c>
      <c r="K75" s="214">
        <f t="shared" si="19"/>
        <v>12.000000000000014</v>
      </c>
      <c r="L75" s="337">
        <f>I75*1.12</f>
        <v>4.223014208</v>
      </c>
      <c r="M75" s="214">
        <f t="shared" si="20"/>
        <v>12.000000000000014</v>
      </c>
      <c r="N75" s="223">
        <f t="shared" si="21"/>
        <v>218.25609240289856</v>
      </c>
      <c r="O75" s="227">
        <f>M75-K75</f>
        <v>0</v>
      </c>
      <c r="P75" s="227"/>
      <c r="Q75" s="25"/>
      <c r="R75" s="7">
        <f>Q75/(F75+1E-106)*100-100</f>
        <v>-100</v>
      </c>
      <c r="S75" s="25"/>
      <c r="T75" s="8">
        <f t="shared" si="18"/>
        <v>-100</v>
      </c>
      <c r="U75" s="8">
        <f t="shared" si="16"/>
        <v>-100</v>
      </c>
      <c r="V75" s="9">
        <f t="shared" si="15"/>
        <v>-12.000000000000014</v>
      </c>
      <c r="W75" s="7"/>
      <c r="X75" s="50"/>
      <c r="Z75" s="34"/>
    </row>
    <row r="76" spans="1:26" ht="12" customHeight="1" hidden="1">
      <c r="A76" s="12"/>
      <c r="B76" s="13" t="s">
        <v>61</v>
      </c>
      <c r="C76" s="40" t="s">
        <v>62</v>
      </c>
      <c r="D76" s="141"/>
      <c r="E76" s="229"/>
      <c r="F76" s="141"/>
      <c r="G76" s="229"/>
      <c r="H76" s="230"/>
      <c r="I76" s="220"/>
      <c r="J76" s="230"/>
      <c r="K76" s="214" t="e">
        <f t="shared" si="19"/>
        <v>#DIV/0!</v>
      </c>
      <c r="L76" s="337" t="e">
        <f>K76/(I76+1E-133)*100-100</f>
        <v>#DIV/0!</v>
      </c>
      <c r="M76" s="214" t="e">
        <f t="shared" si="20"/>
        <v>#DIV/0!</v>
      </c>
      <c r="N76" s="223" t="e">
        <f t="shared" si="21"/>
        <v>#DIV/0!</v>
      </c>
      <c r="O76" s="223"/>
      <c r="P76" s="217"/>
      <c r="Q76" s="257"/>
      <c r="R76" s="250"/>
      <c r="S76" s="257"/>
      <c r="T76" s="256">
        <f t="shared" si="18"/>
        <v>-100</v>
      </c>
      <c r="U76" s="256">
        <f t="shared" si="16"/>
        <v>-100</v>
      </c>
      <c r="V76" s="250" t="e">
        <f t="shared" si="15"/>
        <v>#DIV/0!</v>
      </c>
      <c r="W76" s="250"/>
      <c r="X76" s="49"/>
      <c r="Y76" s="21"/>
      <c r="Z76" s="22"/>
    </row>
    <row r="77" spans="1:26" ht="12" customHeight="1" hidden="1">
      <c r="A77" s="12"/>
      <c r="B77" s="13" t="s">
        <v>63</v>
      </c>
      <c r="C77" s="40" t="s">
        <v>64</v>
      </c>
      <c r="D77" s="141"/>
      <c r="E77" s="229"/>
      <c r="F77" s="141"/>
      <c r="G77" s="229"/>
      <c r="H77" s="230"/>
      <c r="I77" s="220"/>
      <c r="J77" s="230"/>
      <c r="K77" s="214" t="e">
        <f t="shared" si="19"/>
        <v>#DIV/0!</v>
      </c>
      <c r="L77" s="337" t="e">
        <f>K77/(I77+1E-133)*100-100</f>
        <v>#DIV/0!</v>
      </c>
      <c r="M77" s="214" t="e">
        <f t="shared" si="20"/>
        <v>#DIV/0!</v>
      </c>
      <c r="N77" s="223" t="e">
        <f t="shared" si="21"/>
        <v>#DIV/0!</v>
      </c>
      <c r="O77" s="223" t="e">
        <f aca="true" t="shared" si="22" ref="O77:O100">M77-K77</f>
        <v>#DIV/0!</v>
      </c>
      <c r="P77" s="217"/>
      <c r="Q77" s="257"/>
      <c r="R77" s="250">
        <f>Q77/(F77+1E-106)*100-100</f>
        <v>-100</v>
      </c>
      <c r="S77" s="257"/>
      <c r="T77" s="256">
        <f t="shared" si="18"/>
        <v>-100</v>
      </c>
      <c r="U77" s="256">
        <f t="shared" si="16"/>
        <v>-100</v>
      </c>
      <c r="V77" s="250" t="e">
        <f t="shared" si="15"/>
        <v>#DIV/0!</v>
      </c>
      <c r="W77" s="250"/>
      <c r="X77" s="49"/>
      <c r="Y77" s="21"/>
      <c r="Z77" s="22"/>
    </row>
    <row r="78" spans="1:26" ht="12" customHeight="1" hidden="1">
      <c r="A78" s="12"/>
      <c r="B78" s="13" t="s">
        <v>66</v>
      </c>
      <c r="C78" s="40" t="s">
        <v>67</v>
      </c>
      <c r="D78" s="141"/>
      <c r="E78" s="229"/>
      <c r="F78" s="141"/>
      <c r="G78" s="229"/>
      <c r="H78" s="230"/>
      <c r="I78" s="220"/>
      <c r="J78" s="230"/>
      <c r="K78" s="214" t="e">
        <f t="shared" si="19"/>
        <v>#DIV/0!</v>
      </c>
      <c r="L78" s="337" t="e">
        <f>K78/(I78+1E-133)*100-100</f>
        <v>#DIV/0!</v>
      </c>
      <c r="M78" s="214" t="e">
        <f t="shared" si="20"/>
        <v>#DIV/0!</v>
      </c>
      <c r="N78" s="223" t="e">
        <f t="shared" si="21"/>
        <v>#DIV/0!</v>
      </c>
      <c r="O78" s="223" t="e">
        <f t="shared" si="22"/>
        <v>#DIV/0!</v>
      </c>
      <c r="P78" s="217"/>
      <c r="Q78" s="257"/>
      <c r="R78" s="250">
        <f>Q78/(F78+1E-106)*100-100</f>
        <v>-100</v>
      </c>
      <c r="S78" s="257"/>
      <c r="T78" s="256">
        <f t="shared" si="18"/>
        <v>-100</v>
      </c>
      <c r="U78" s="256">
        <f t="shared" si="16"/>
        <v>-100</v>
      </c>
      <c r="V78" s="250" t="e">
        <f t="shared" si="15"/>
        <v>#DIV/0!</v>
      </c>
      <c r="W78" s="250"/>
      <c r="X78" s="49"/>
      <c r="Y78" s="21"/>
      <c r="Z78" s="22"/>
    </row>
    <row r="79" spans="1:26" ht="12" customHeight="1" hidden="1">
      <c r="A79" s="310" t="s">
        <v>31</v>
      </c>
      <c r="B79" s="4" t="s">
        <v>54</v>
      </c>
      <c r="C79" s="40"/>
      <c r="D79" s="219"/>
      <c r="E79" s="214"/>
      <c r="F79" s="219"/>
      <c r="G79" s="214"/>
      <c r="H79" s="224"/>
      <c r="I79" s="216"/>
      <c r="J79" s="224"/>
      <c r="K79" s="214" t="e">
        <f t="shared" si="19"/>
        <v>#DIV/0!</v>
      </c>
      <c r="L79" s="337"/>
      <c r="M79" s="214" t="e">
        <f t="shared" si="20"/>
        <v>#DIV/0!</v>
      </c>
      <c r="N79" s="223"/>
      <c r="O79" s="223"/>
      <c r="P79" s="223"/>
      <c r="Q79" s="257"/>
      <c r="R79" s="250"/>
      <c r="S79" s="257"/>
      <c r="T79" s="256">
        <f t="shared" si="18"/>
        <v>-100</v>
      </c>
      <c r="U79" s="256">
        <f t="shared" si="16"/>
        <v>-100</v>
      </c>
      <c r="V79" s="250" t="e">
        <f t="shared" si="15"/>
        <v>#DIV/0!</v>
      </c>
      <c r="W79" s="250"/>
      <c r="X79" s="49"/>
      <c r="Y79" s="21"/>
      <c r="Z79" s="22"/>
    </row>
    <row r="80" spans="1:26" ht="12" customHeight="1" hidden="1">
      <c r="A80" s="12"/>
      <c r="B80" s="13" t="s">
        <v>58</v>
      </c>
      <c r="C80" s="40" t="s">
        <v>51</v>
      </c>
      <c r="D80" s="141"/>
      <c r="E80" s="229"/>
      <c r="F80" s="141"/>
      <c r="G80" s="229"/>
      <c r="H80" s="230"/>
      <c r="I80" s="220"/>
      <c r="J80" s="230"/>
      <c r="K80" s="214" t="e">
        <f t="shared" si="19"/>
        <v>#DIV/0!</v>
      </c>
      <c r="L80" s="337" t="e">
        <f>K80/(I80+1E-133)*100-100</f>
        <v>#DIV/0!</v>
      </c>
      <c r="M80" s="214" t="e">
        <f t="shared" si="20"/>
        <v>#DIV/0!</v>
      </c>
      <c r="N80" s="223" t="e">
        <f t="shared" si="21"/>
        <v>#DIV/0!</v>
      </c>
      <c r="O80" s="223" t="e">
        <f t="shared" si="22"/>
        <v>#DIV/0!</v>
      </c>
      <c r="P80" s="217"/>
      <c r="Q80" s="257"/>
      <c r="R80" s="250">
        <f>Q80/(F80+1E-106)*100-100</f>
        <v>-100</v>
      </c>
      <c r="S80" s="257"/>
      <c r="T80" s="256">
        <f t="shared" si="18"/>
        <v>-100</v>
      </c>
      <c r="U80" s="256">
        <f t="shared" si="16"/>
        <v>-100</v>
      </c>
      <c r="V80" s="250" t="e">
        <f t="shared" si="15"/>
        <v>#DIV/0!</v>
      </c>
      <c r="W80" s="250"/>
      <c r="X80" s="49"/>
      <c r="Y80" s="21"/>
      <c r="Z80" s="22"/>
    </row>
    <row r="81" spans="1:26" s="33" customFormat="1" ht="12" customHeight="1" hidden="1">
      <c r="A81" s="3"/>
      <c r="B81" s="4" t="s">
        <v>59</v>
      </c>
      <c r="C81" s="40" t="s">
        <v>60</v>
      </c>
      <c r="D81" s="220"/>
      <c r="E81" s="227">
        <f>(E113-E83*12*E84)/(E80+1E-107)</f>
        <v>0</v>
      </c>
      <c r="F81" s="220"/>
      <c r="G81" s="227">
        <f>(G113-G83*12*G84)/(G80+1E-107)</f>
        <v>0</v>
      </c>
      <c r="H81" s="235"/>
      <c r="I81" s="220"/>
      <c r="J81" s="235"/>
      <c r="K81" s="214" t="e">
        <f t="shared" si="19"/>
        <v>#DIV/0!</v>
      </c>
      <c r="L81" s="337" t="e">
        <f>K81/(I81+1E-133)*100-100</f>
        <v>#DIV/0!</v>
      </c>
      <c r="M81" s="214" t="e">
        <f t="shared" si="20"/>
        <v>#DIV/0!</v>
      </c>
      <c r="N81" s="223" t="e">
        <f t="shared" si="21"/>
        <v>#DIV/0!</v>
      </c>
      <c r="O81" s="227" t="e">
        <f t="shared" si="22"/>
        <v>#DIV/0!</v>
      </c>
      <c r="P81" s="227"/>
      <c r="Q81" s="25"/>
      <c r="R81" s="7">
        <f>Q81/(F81+1E-106)*100-100</f>
        <v>-100</v>
      </c>
      <c r="S81" s="25"/>
      <c r="T81" s="8">
        <f t="shared" si="18"/>
        <v>-100</v>
      </c>
      <c r="U81" s="8">
        <f t="shared" si="16"/>
        <v>-100</v>
      </c>
      <c r="V81" s="9" t="e">
        <f t="shared" si="15"/>
        <v>#DIV/0!</v>
      </c>
      <c r="W81" s="9"/>
      <c r="X81" s="50"/>
      <c r="Z81" s="34"/>
    </row>
    <row r="82" spans="1:26" ht="12" customHeight="1" hidden="1">
      <c r="A82" s="12"/>
      <c r="B82" s="13" t="s">
        <v>61</v>
      </c>
      <c r="C82" s="40" t="s">
        <v>62</v>
      </c>
      <c r="D82" s="141"/>
      <c r="E82" s="229"/>
      <c r="F82" s="141"/>
      <c r="G82" s="229"/>
      <c r="H82" s="230"/>
      <c r="I82" s="220"/>
      <c r="J82" s="230"/>
      <c r="K82" s="214" t="e">
        <f t="shared" si="19"/>
        <v>#DIV/0!</v>
      </c>
      <c r="L82" s="337" t="e">
        <f>K82/(I82+1E-133)*100-100</f>
        <v>#DIV/0!</v>
      </c>
      <c r="M82" s="214" t="e">
        <f t="shared" si="20"/>
        <v>#DIV/0!</v>
      </c>
      <c r="N82" s="223" t="e">
        <f t="shared" si="21"/>
        <v>#DIV/0!</v>
      </c>
      <c r="O82" s="223" t="e">
        <f t="shared" si="22"/>
        <v>#DIV/0!</v>
      </c>
      <c r="P82" s="217"/>
      <c r="Q82" s="257"/>
      <c r="R82" s="250"/>
      <c r="S82" s="257"/>
      <c r="T82" s="256">
        <f t="shared" si="18"/>
        <v>-100</v>
      </c>
      <c r="U82" s="256">
        <f t="shared" si="16"/>
        <v>-100</v>
      </c>
      <c r="V82" s="250" t="e">
        <f t="shared" si="15"/>
        <v>#DIV/0!</v>
      </c>
      <c r="W82" s="250"/>
      <c r="X82" s="49"/>
      <c r="Y82" s="21"/>
      <c r="Z82" s="22"/>
    </row>
    <row r="83" spans="1:26" ht="12" customHeight="1" hidden="1">
      <c r="A83" s="12"/>
      <c r="B83" s="13" t="s">
        <v>63</v>
      </c>
      <c r="C83" s="40" t="s">
        <v>64</v>
      </c>
      <c r="D83" s="141"/>
      <c r="E83" s="229"/>
      <c r="F83" s="141"/>
      <c r="G83" s="229"/>
      <c r="H83" s="230"/>
      <c r="I83" s="220"/>
      <c r="J83" s="230"/>
      <c r="K83" s="214" t="e">
        <f t="shared" si="19"/>
        <v>#DIV/0!</v>
      </c>
      <c r="L83" s="337" t="e">
        <f>K83/(I83+1E-133)*100-100</f>
        <v>#DIV/0!</v>
      </c>
      <c r="M83" s="214" t="e">
        <f t="shared" si="20"/>
        <v>#DIV/0!</v>
      </c>
      <c r="N83" s="223" t="e">
        <f t="shared" si="21"/>
        <v>#DIV/0!</v>
      </c>
      <c r="O83" s="223" t="e">
        <f t="shared" si="22"/>
        <v>#DIV/0!</v>
      </c>
      <c r="P83" s="217"/>
      <c r="Q83" s="257"/>
      <c r="R83" s="250">
        <f>Q83/(F83+1E-106)*100-100</f>
        <v>-100</v>
      </c>
      <c r="S83" s="257"/>
      <c r="T83" s="256">
        <f t="shared" si="18"/>
        <v>-100</v>
      </c>
      <c r="U83" s="256">
        <f t="shared" si="16"/>
        <v>-100</v>
      </c>
      <c r="V83" s="250" t="e">
        <f t="shared" si="15"/>
        <v>#DIV/0!</v>
      </c>
      <c r="W83" s="250"/>
      <c r="X83" s="49"/>
      <c r="Y83" s="21"/>
      <c r="Z83" s="22"/>
    </row>
    <row r="84" spans="1:26" ht="12" customHeight="1" hidden="1">
      <c r="A84" s="12"/>
      <c r="B84" s="13" t="s">
        <v>66</v>
      </c>
      <c r="C84" s="40" t="s">
        <v>67</v>
      </c>
      <c r="D84" s="141"/>
      <c r="E84" s="229"/>
      <c r="F84" s="141"/>
      <c r="G84" s="229"/>
      <c r="H84" s="230"/>
      <c r="I84" s="220"/>
      <c r="J84" s="230"/>
      <c r="K84" s="214" t="e">
        <f t="shared" si="19"/>
        <v>#DIV/0!</v>
      </c>
      <c r="L84" s="337" t="e">
        <f>K84/(I84+1E-133)*100-100</f>
        <v>#DIV/0!</v>
      </c>
      <c r="M84" s="214" t="e">
        <f t="shared" si="20"/>
        <v>#DIV/0!</v>
      </c>
      <c r="N84" s="223" t="e">
        <f t="shared" si="21"/>
        <v>#DIV/0!</v>
      </c>
      <c r="O84" s="223" t="e">
        <f t="shared" si="22"/>
        <v>#DIV/0!</v>
      </c>
      <c r="P84" s="217"/>
      <c r="Q84" s="257"/>
      <c r="R84" s="250">
        <f>Q84/(F84+1E-106)*100-100</f>
        <v>-100</v>
      </c>
      <c r="S84" s="257"/>
      <c r="T84" s="256">
        <f t="shared" si="18"/>
        <v>-100</v>
      </c>
      <c r="U84" s="256">
        <f t="shared" si="16"/>
        <v>-100</v>
      </c>
      <c r="V84" s="250" t="e">
        <f t="shared" si="15"/>
        <v>#DIV/0!</v>
      </c>
      <c r="W84" s="250"/>
      <c r="X84" s="49"/>
      <c r="Y84" s="21"/>
      <c r="Z84" s="22"/>
    </row>
    <row r="85" spans="1:26" ht="12" customHeight="1" hidden="1">
      <c r="A85" s="12" t="s">
        <v>31</v>
      </c>
      <c r="B85" s="4" t="s">
        <v>55</v>
      </c>
      <c r="C85" s="40"/>
      <c r="D85" s="219"/>
      <c r="E85" s="214"/>
      <c r="F85" s="219"/>
      <c r="G85" s="214"/>
      <c r="H85" s="224"/>
      <c r="I85" s="216"/>
      <c r="J85" s="224"/>
      <c r="K85" s="214" t="e">
        <f t="shared" si="19"/>
        <v>#DIV/0!</v>
      </c>
      <c r="L85" s="337"/>
      <c r="M85" s="214" t="e">
        <f t="shared" si="20"/>
        <v>#DIV/0!</v>
      </c>
      <c r="N85" s="223"/>
      <c r="O85" s="223"/>
      <c r="P85" s="217"/>
      <c r="Q85" s="257"/>
      <c r="R85" s="250"/>
      <c r="S85" s="257"/>
      <c r="T85" s="256">
        <f t="shared" si="18"/>
        <v>-100</v>
      </c>
      <c r="U85" s="256">
        <f t="shared" si="16"/>
        <v>-100</v>
      </c>
      <c r="V85" s="250" t="e">
        <f t="shared" si="15"/>
        <v>#DIV/0!</v>
      </c>
      <c r="W85" s="250"/>
      <c r="X85" s="49"/>
      <c r="Y85" s="21"/>
      <c r="Z85" s="22"/>
    </row>
    <row r="86" spans="1:26" ht="12" customHeight="1" hidden="1">
      <c r="A86" s="12"/>
      <c r="B86" s="13" t="s">
        <v>58</v>
      </c>
      <c r="C86" s="40" t="s">
        <v>51</v>
      </c>
      <c r="D86" s="141"/>
      <c r="E86" s="217"/>
      <c r="F86" s="141"/>
      <c r="G86" s="229"/>
      <c r="H86" s="230"/>
      <c r="I86" s="220"/>
      <c r="J86" s="230"/>
      <c r="K86" s="214" t="e">
        <f t="shared" si="19"/>
        <v>#DIV/0!</v>
      </c>
      <c r="L86" s="337" t="e">
        <f>K86/(I86+1E-133)*100-100</f>
        <v>#DIV/0!</v>
      </c>
      <c r="M86" s="214" t="e">
        <f t="shared" si="20"/>
        <v>#DIV/0!</v>
      </c>
      <c r="N86" s="223" t="e">
        <f t="shared" si="21"/>
        <v>#DIV/0!</v>
      </c>
      <c r="O86" s="223" t="e">
        <f t="shared" si="22"/>
        <v>#DIV/0!</v>
      </c>
      <c r="P86" s="217"/>
      <c r="Q86" s="257"/>
      <c r="R86" s="250">
        <f>Q86/(F86+1E-106)*100-100</f>
        <v>-100</v>
      </c>
      <c r="S86" s="257"/>
      <c r="T86" s="256">
        <f t="shared" si="18"/>
        <v>-100</v>
      </c>
      <c r="U86" s="256">
        <f t="shared" si="16"/>
        <v>-100</v>
      </c>
      <c r="V86" s="250" t="e">
        <f t="shared" si="15"/>
        <v>#DIV/0!</v>
      </c>
      <c r="W86" s="250"/>
      <c r="X86" s="49"/>
      <c r="Y86" s="21"/>
      <c r="Z86" s="22"/>
    </row>
    <row r="87" spans="1:26" s="33" customFormat="1" ht="12" customHeight="1" hidden="1">
      <c r="A87" s="3"/>
      <c r="B87" s="4" t="s">
        <v>59</v>
      </c>
      <c r="C87" s="40" t="s">
        <v>60</v>
      </c>
      <c r="D87" s="220"/>
      <c r="E87" s="227">
        <f>(E114-E89*12*E90)/(E86+1E-107)</f>
        <v>0</v>
      </c>
      <c r="F87" s="220"/>
      <c r="G87" s="227">
        <f>(G114-G89*12*G90)/(G86+1E-107)</f>
        <v>0</v>
      </c>
      <c r="H87" s="235"/>
      <c r="I87" s="220"/>
      <c r="J87" s="235"/>
      <c r="K87" s="214" t="e">
        <f t="shared" si="19"/>
        <v>#DIV/0!</v>
      </c>
      <c r="L87" s="337" t="e">
        <f>K87/(I87+1E-133)*100-100</f>
        <v>#DIV/0!</v>
      </c>
      <c r="M87" s="214" t="e">
        <f t="shared" si="20"/>
        <v>#DIV/0!</v>
      </c>
      <c r="N87" s="223" t="e">
        <f t="shared" si="21"/>
        <v>#DIV/0!</v>
      </c>
      <c r="O87" s="227" t="e">
        <f t="shared" si="22"/>
        <v>#DIV/0!</v>
      </c>
      <c r="P87" s="227"/>
      <c r="Q87" s="25"/>
      <c r="R87" s="7">
        <f>Q87/(F87+1E-106)*100-100</f>
        <v>-100</v>
      </c>
      <c r="S87" s="25"/>
      <c r="T87" s="8">
        <f t="shared" si="18"/>
        <v>-100</v>
      </c>
      <c r="U87" s="8">
        <f t="shared" si="16"/>
        <v>-100</v>
      </c>
      <c r="V87" s="9" t="e">
        <f t="shared" si="15"/>
        <v>#DIV/0!</v>
      </c>
      <c r="W87" s="7"/>
      <c r="X87" s="50"/>
      <c r="Z87" s="34"/>
    </row>
    <row r="88" spans="1:26" ht="12" customHeight="1" hidden="1">
      <c r="A88" s="12"/>
      <c r="B88" s="13" t="s">
        <v>61</v>
      </c>
      <c r="C88" s="40" t="s">
        <v>62</v>
      </c>
      <c r="D88" s="141"/>
      <c r="E88" s="229"/>
      <c r="F88" s="141"/>
      <c r="G88" s="229"/>
      <c r="H88" s="230"/>
      <c r="I88" s="220"/>
      <c r="J88" s="230"/>
      <c r="K88" s="214" t="e">
        <f t="shared" si="19"/>
        <v>#DIV/0!</v>
      </c>
      <c r="L88" s="337" t="e">
        <f>K88/(I88+1E-133)*100-100</f>
        <v>#DIV/0!</v>
      </c>
      <c r="M88" s="214" t="e">
        <f t="shared" si="20"/>
        <v>#DIV/0!</v>
      </c>
      <c r="N88" s="223" t="e">
        <f t="shared" si="21"/>
        <v>#DIV/0!</v>
      </c>
      <c r="O88" s="223" t="e">
        <f t="shared" si="22"/>
        <v>#DIV/0!</v>
      </c>
      <c r="P88" s="217"/>
      <c r="Q88" s="257"/>
      <c r="R88" s="250"/>
      <c r="S88" s="257"/>
      <c r="T88" s="256">
        <f t="shared" si="18"/>
        <v>-100</v>
      </c>
      <c r="U88" s="256">
        <f t="shared" si="16"/>
        <v>-100</v>
      </c>
      <c r="V88" s="250" t="e">
        <f t="shared" si="15"/>
        <v>#DIV/0!</v>
      </c>
      <c r="W88" s="250"/>
      <c r="X88" s="49"/>
      <c r="Y88" s="21"/>
      <c r="Z88" s="22"/>
    </row>
    <row r="89" spans="1:26" ht="12" customHeight="1" hidden="1">
      <c r="A89" s="12"/>
      <c r="B89" s="13" t="s">
        <v>63</v>
      </c>
      <c r="C89" s="40" t="s">
        <v>64</v>
      </c>
      <c r="D89" s="141"/>
      <c r="E89" s="229"/>
      <c r="F89" s="141"/>
      <c r="G89" s="229"/>
      <c r="H89" s="230"/>
      <c r="I89" s="220"/>
      <c r="J89" s="230"/>
      <c r="K89" s="214" t="e">
        <f t="shared" si="19"/>
        <v>#DIV/0!</v>
      </c>
      <c r="L89" s="337" t="e">
        <f>K89/(I89+1E-133)*100-100</f>
        <v>#DIV/0!</v>
      </c>
      <c r="M89" s="214" t="e">
        <f t="shared" si="20"/>
        <v>#DIV/0!</v>
      </c>
      <c r="N89" s="223" t="e">
        <f t="shared" si="21"/>
        <v>#DIV/0!</v>
      </c>
      <c r="O89" s="223" t="e">
        <f t="shared" si="22"/>
        <v>#DIV/0!</v>
      </c>
      <c r="P89" s="217"/>
      <c r="Q89" s="257"/>
      <c r="R89" s="250">
        <f>Q89/(F89+1E-106)*100-100</f>
        <v>-100</v>
      </c>
      <c r="S89" s="257"/>
      <c r="T89" s="256">
        <f t="shared" si="18"/>
        <v>-100</v>
      </c>
      <c r="U89" s="256">
        <f t="shared" si="16"/>
        <v>-100</v>
      </c>
      <c r="V89" s="250" t="e">
        <f t="shared" si="15"/>
        <v>#DIV/0!</v>
      </c>
      <c r="W89" s="250"/>
      <c r="X89" s="49"/>
      <c r="Y89" s="21"/>
      <c r="Z89" s="22"/>
    </row>
    <row r="90" spans="1:26" ht="12" customHeight="1" hidden="1">
      <c r="A90" s="12"/>
      <c r="B90" s="13" t="s">
        <v>66</v>
      </c>
      <c r="C90" s="40" t="s">
        <v>67</v>
      </c>
      <c r="D90" s="141"/>
      <c r="E90" s="229"/>
      <c r="F90" s="141"/>
      <c r="G90" s="229"/>
      <c r="H90" s="230"/>
      <c r="I90" s="220"/>
      <c r="J90" s="230"/>
      <c r="K90" s="214" t="e">
        <f t="shared" si="19"/>
        <v>#DIV/0!</v>
      </c>
      <c r="L90" s="337" t="e">
        <f>K90/(I90+1E-133)*100-100</f>
        <v>#DIV/0!</v>
      </c>
      <c r="M90" s="214" t="e">
        <f t="shared" si="20"/>
        <v>#DIV/0!</v>
      </c>
      <c r="N90" s="223" t="e">
        <f t="shared" si="21"/>
        <v>#DIV/0!</v>
      </c>
      <c r="O90" s="223" t="e">
        <f t="shared" si="22"/>
        <v>#DIV/0!</v>
      </c>
      <c r="P90" s="217"/>
      <c r="Q90" s="257"/>
      <c r="R90" s="250">
        <f>Q90/(F90+1E-106)*100-100</f>
        <v>-100</v>
      </c>
      <c r="S90" s="257"/>
      <c r="T90" s="256">
        <f t="shared" si="18"/>
        <v>-100</v>
      </c>
      <c r="U90" s="256">
        <f t="shared" si="16"/>
        <v>-100</v>
      </c>
      <c r="V90" s="250" t="e">
        <f t="shared" si="15"/>
        <v>#DIV/0!</v>
      </c>
      <c r="W90" s="250"/>
      <c r="X90" s="49"/>
      <c r="Y90" s="21"/>
      <c r="Z90" s="22"/>
    </row>
    <row r="91" spans="1:26" ht="12" customHeight="1" hidden="1">
      <c r="A91" s="310" t="s">
        <v>31</v>
      </c>
      <c r="B91" s="4" t="s">
        <v>56</v>
      </c>
      <c r="C91" s="40"/>
      <c r="D91" s="219"/>
      <c r="E91" s="214"/>
      <c r="F91" s="219"/>
      <c r="G91" s="214"/>
      <c r="H91" s="224"/>
      <c r="I91" s="216"/>
      <c r="J91" s="224"/>
      <c r="K91" s="214" t="e">
        <f t="shared" si="19"/>
        <v>#DIV/0!</v>
      </c>
      <c r="L91" s="337"/>
      <c r="M91" s="214" t="e">
        <f t="shared" si="20"/>
        <v>#DIV/0!</v>
      </c>
      <c r="N91" s="223"/>
      <c r="O91" s="223"/>
      <c r="P91" s="217"/>
      <c r="Q91" s="257"/>
      <c r="R91" s="250"/>
      <c r="S91" s="257"/>
      <c r="T91" s="256">
        <f t="shared" si="18"/>
        <v>-100</v>
      </c>
      <c r="U91" s="256">
        <f t="shared" si="16"/>
        <v>-100</v>
      </c>
      <c r="V91" s="250" t="e">
        <f t="shared" si="15"/>
        <v>#DIV/0!</v>
      </c>
      <c r="W91" s="250"/>
      <c r="X91" s="49"/>
      <c r="Y91" s="21"/>
      <c r="Z91" s="22"/>
    </row>
    <row r="92" spans="1:26" ht="12" customHeight="1" hidden="1">
      <c r="A92" s="12"/>
      <c r="B92" s="13" t="s">
        <v>58</v>
      </c>
      <c r="C92" s="40" t="s">
        <v>51</v>
      </c>
      <c r="D92" s="141"/>
      <c r="E92" s="229"/>
      <c r="F92" s="141"/>
      <c r="G92" s="229"/>
      <c r="H92" s="230"/>
      <c r="I92" s="220"/>
      <c r="J92" s="230"/>
      <c r="K92" s="214" t="e">
        <f t="shared" si="19"/>
        <v>#DIV/0!</v>
      </c>
      <c r="L92" s="337" t="e">
        <f>K92/(I92+1E-133)*100-100</f>
        <v>#DIV/0!</v>
      </c>
      <c r="M92" s="214" t="e">
        <f t="shared" si="20"/>
        <v>#DIV/0!</v>
      </c>
      <c r="N92" s="223" t="e">
        <f t="shared" si="21"/>
        <v>#DIV/0!</v>
      </c>
      <c r="O92" s="223" t="e">
        <f t="shared" si="22"/>
        <v>#DIV/0!</v>
      </c>
      <c r="P92" s="217"/>
      <c r="Q92" s="257"/>
      <c r="R92" s="250">
        <f>Q92/(F92+1E-106)*100-100</f>
        <v>-100</v>
      </c>
      <c r="S92" s="257"/>
      <c r="T92" s="256">
        <f t="shared" si="18"/>
        <v>-100</v>
      </c>
      <c r="U92" s="256">
        <f t="shared" si="16"/>
        <v>-100</v>
      </c>
      <c r="V92" s="250" t="e">
        <f t="shared" si="15"/>
        <v>#DIV/0!</v>
      </c>
      <c r="W92" s="250"/>
      <c r="X92" s="49"/>
      <c r="Y92" s="21"/>
      <c r="Z92" s="22"/>
    </row>
    <row r="93" spans="1:26" s="33" customFormat="1" ht="12" customHeight="1" hidden="1">
      <c r="A93" s="3"/>
      <c r="B93" s="4" t="s">
        <v>59</v>
      </c>
      <c r="C93" s="40" t="s">
        <v>60</v>
      </c>
      <c r="D93" s="220"/>
      <c r="E93" s="227">
        <f>(E115-E95*12*E96)/(E92+1E-107)</f>
        <v>0</v>
      </c>
      <c r="F93" s="220"/>
      <c r="G93" s="227">
        <f>(G115-G95*12*G96)/(G92+1E-107)</f>
        <v>0</v>
      </c>
      <c r="H93" s="235"/>
      <c r="I93" s="220"/>
      <c r="J93" s="235"/>
      <c r="K93" s="214" t="e">
        <f t="shared" si="19"/>
        <v>#DIV/0!</v>
      </c>
      <c r="L93" s="337" t="e">
        <f>K93/(I93+1E-133)*100-100</f>
        <v>#DIV/0!</v>
      </c>
      <c r="M93" s="214" t="e">
        <f t="shared" si="20"/>
        <v>#DIV/0!</v>
      </c>
      <c r="N93" s="223" t="e">
        <f t="shared" si="21"/>
        <v>#DIV/0!</v>
      </c>
      <c r="O93" s="227" t="e">
        <f t="shared" si="22"/>
        <v>#DIV/0!</v>
      </c>
      <c r="P93" s="227"/>
      <c r="Q93" s="25"/>
      <c r="R93" s="7">
        <f>Q93/(F93+1E-106)*100-100</f>
        <v>-100</v>
      </c>
      <c r="S93" s="25"/>
      <c r="T93" s="8">
        <f t="shared" si="18"/>
        <v>-100</v>
      </c>
      <c r="U93" s="8">
        <f t="shared" si="16"/>
        <v>-100</v>
      </c>
      <c r="V93" s="9" t="e">
        <f t="shared" si="15"/>
        <v>#DIV/0!</v>
      </c>
      <c r="W93" s="9"/>
      <c r="X93" s="50"/>
      <c r="Z93" s="34"/>
    </row>
    <row r="94" spans="1:26" ht="12" customHeight="1" hidden="1">
      <c r="A94" s="12"/>
      <c r="B94" s="13" t="s">
        <v>61</v>
      </c>
      <c r="C94" s="40" t="s">
        <v>62</v>
      </c>
      <c r="D94" s="141"/>
      <c r="E94" s="229"/>
      <c r="F94" s="141"/>
      <c r="G94" s="229"/>
      <c r="H94" s="230"/>
      <c r="I94" s="220"/>
      <c r="J94" s="230"/>
      <c r="K94" s="214" t="e">
        <f t="shared" si="19"/>
        <v>#DIV/0!</v>
      </c>
      <c r="L94" s="337" t="e">
        <f>K94/(I94+1E-133)*100-100</f>
        <v>#DIV/0!</v>
      </c>
      <c r="M94" s="214" t="e">
        <f t="shared" si="20"/>
        <v>#DIV/0!</v>
      </c>
      <c r="N94" s="223" t="e">
        <f t="shared" si="21"/>
        <v>#DIV/0!</v>
      </c>
      <c r="O94" s="223" t="e">
        <f t="shared" si="22"/>
        <v>#DIV/0!</v>
      </c>
      <c r="P94" s="217"/>
      <c r="Q94" s="257"/>
      <c r="R94" s="250"/>
      <c r="S94" s="257"/>
      <c r="T94" s="256">
        <f t="shared" si="18"/>
        <v>-100</v>
      </c>
      <c r="U94" s="256">
        <f t="shared" si="16"/>
        <v>-100</v>
      </c>
      <c r="V94" s="250" t="e">
        <f t="shared" si="15"/>
        <v>#DIV/0!</v>
      </c>
      <c r="W94" s="250"/>
      <c r="X94" s="49"/>
      <c r="Y94" s="21"/>
      <c r="Z94" s="22"/>
    </row>
    <row r="95" spans="1:26" ht="12" customHeight="1" hidden="1">
      <c r="A95" s="12"/>
      <c r="B95" s="13" t="s">
        <v>63</v>
      </c>
      <c r="C95" s="40" t="s">
        <v>64</v>
      </c>
      <c r="D95" s="141"/>
      <c r="E95" s="229"/>
      <c r="F95" s="141"/>
      <c r="G95" s="229"/>
      <c r="H95" s="230"/>
      <c r="I95" s="220"/>
      <c r="J95" s="230"/>
      <c r="K95" s="214" t="e">
        <f t="shared" si="19"/>
        <v>#DIV/0!</v>
      </c>
      <c r="L95" s="337" t="e">
        <f>K95/(I95+1E-133)*100-100</f>
        <v>#DIV/0!</v>
      </c>
      <c r="M95" s="214" t="e">
        <f t="shared" si="20"/>
        <v>#DIV/0!</v>
      </c>
      <c r="N95" s="223" t="e">
        <f t="shared" si="21"/>
        <v>#DIV/0!</v>
      </c>
      <c r="O95" s="223" t="e">
        <f t="shared" si="22"/>
        <v>#DIV/0!</v>
      </c>
      <c r="P95" s="217"/>
      <c r="Q95" s="257"/>
      <c r="R95" s="250">
        <f>Q95/(F95+1E-106)*100-100</f>
        <v>-100</v>
      </c>
      <c r="S95" s="257"/>
      <c r="T95" s="256">
        <f t="shared" si="18"/>
        <v>-100</v>
      </c>
      <c r="U95" s="256">
        <f t="shared" si="16"/>
        <v>-100</v>
      </c>
      <c r="V95" s="250" t="e">
        <f t="shared" si="15"/>
        <v>#DIV/0!</v>
      </c>
      <c r="W95" s="250"/>
      <c r="X95" s="49"/>
      <c r="Y95" s="21"/>
      <c r="Z95" s="22"/>
    </row>
    <row r="96" spans="1:26" ht="12" customHeight="1" hidden="1">
      <c r="A96" s="12"/>
      <c r="B96" s="13" t="s">
        <v>66</v>
      </c>
      <c r="C96" s="40" t="s">
        <v>67</v>
      </c>
      <c r="D96" s="141"/>
      <c r="E96" s="229"/>
      <c r="F96" s="141"/>
      <c r="G96" s="229"/>
      <c r="H96" s="230"/>
      <c r="I96" s="220"/>
      <c r="J96" s="230"/>
      <c r="K96" s="214" t="e">
        <f t="shared" si="19"/>
        <v>#DIV/0!</v>
      </c>
      <c r="L96" s="337" t="e">
        <f>K96/(I96+1E-133)*100-100</f>
        <v>#DIV/0!</v>
      </c>
      <c r="M96" s="214" t="e">
        <f t="shared" si="20"/>
        <v>#DIV/0!</v>
      </c>
      <c r="N96" s="223" t="e">
        <f t="shared" si="21"/>
        <v>#DIV/0!</v>
      </c>
      <c r="O96" s="223" t="e">
        <f t="shared" si="22"/>
        <v>#DIV/0!</v>
      </c>
      <c r="P96" s="217"/>
      <c r="Q96" s="257"/>
      <c r="R96" s="250">
        <f>Q96/(F96+1E-106)*100-100</f>
        <v>-100</v>
      </c>
      <c r="S96" s="257"/>
      <c r="T96" s="256">
        <f t="shared" si="18"/>
        <v>-100</v>
      </c>
      <c r="U96" s="256">
        <f t="shared" si="16"/>
        <v>-100</v>
      </c>
      <c r="V96" s="250" t="e">
        <f t="shared" si="15"/>
        <v>#DIV/0!</v>
      </c>
      <c r="W96" s="250"/>
      <c r="X96" s="49"/>
      <c r="Y96" s="21"/>
      <c r="Z96" s="22"/>
    </row>
    <row r="97" spans="1:26" ht="12" customHeight="1">
      <c r="A97" s="51">
        <v>9</v>
      </c>
      <c r="B97" s="52" t="s">
        <v>68</v>
      </c>
      <c r="C97" s="163"/>
      <c r="D97" s="219"/>
      <c r="E97" s="219"/>
      <c r="F97" s="219"/>
      <c r="G97" s="219"/>
      <c r="H97" s="216"/>
      <c r="I97" s="216"/>
      <c r="J97" s="216"/>
      <c r="K97" s="336"/>
      <c r="L97" s="337"/>
      <c r="M97" s="336"/>
      <c r="N97" s="219"/>
      <c r="O97" s="219"/>
      <c r="P97" s="141"/>
      <c r="Q97" s="258"/>
      <c r="R97" s="259"/>
      <c r="S97" s="258"/>
      <c r="T97" s="260"/>
      <c r="U97" s="260"/>
      <c r="V97" s="261">
        <f t="shared" si="15"/>
        <v>0</v>
      </c>
      <c r="W97" s="259"/>
      <c r="X97" s="49"/>
      <c r="Y97" s="21"/>
      <c r="Z97" s="22"/>
    </row>
    <row r="98" spans="1:26" ht="12" customHeight="1">
      <c r="A98" s="12"/>
      <c r="B98" s="13" t="s">
        <v>69</v>
      </c>
      <c r="C98" s="40" t="s">
        <v>70</v>
      </c>
      <c r="D98" s="141"/>
      <c r="E98" s="214">
        <f>E99*1000/(E8+1E-104)</f>
        <v>0</v>
      </c>
      <c r="F98" s="141"/>
      <c r="G98" s="214">
        <f>G99*1000/(G8+1E-104)</f>
        <v>0</v>
      </c>
      <c r="H98" s="235">
        <v>0.3</v>
      </c>
      <c r="I98" s="220">
        <f>H98</f>
        <v>0.3</v>
      </c>
      <c r="J98" s="235">
        <v>0.3</v>
      </c>
      <c r="K98" s="214">
        <f t="shared" si="19"/>
        <v>0</v>
      </c>
      <c r="L98" s="337">
        <f>I98</f>
        <v>0.3</v>
      </c>
      <c r="M98" s="214">
        <f t="shared" si="20"/>
        <v>0</v>
      </c>
      <c r="N98" s="223">
        <f t="shared" si="21"/>
        <v>-100</v>
      </c>
      <c r="O98" s="223">
        <f t="shared" si="22"/>
        <v>0</v>
      </c>
      <c r="P98" s="223"/>
      <c r="Q98" s="38">
        <f>F98</f>
        <v>0</v>
      </c>
      <c r="R98" s="16">
        <f>Q98/(F98+1E-106)*100-100</f>
        <v>-100</v>
      </c>
      <c r="S98" s="38">
        <f>Q98</f>
        <v>0</v>
      </c>
      <c r="T98" s="17">
        <f t="shared" si="18"/>
        <v>-100</v>
      </c>
      <c r="U98" s="17">
        <f>S98/(F98+1E-106)*100-100</f>
        <v>-100</v>
      </c>
      <c r="V98" s="16">
        <f>S98-K98</f>
        <v>0</v>
      </c>
      <c r="W98" s="16"/>
      <c r="X98" s="49"/>
      <c r="Y98" s="21"/>
      <c r="Z98" s="22"/>
    </row>
    <row r="99" spans="1:24" ht="12" customHeight="1">
      <c r="A99" s="12"/>
      <c r="B99" s="13" t="s">
        <v>71</v>
      </c>
      <c r="C99" s="40" t="s">
        <v>72</v>
      </c>
      <c r="D99" s="219">
        <f>D98*D8/1000</f>
        <v>0</v>
      </c>
      <c r="E99" s="229"/>
      <c r="F99" s="219">
        <f>F98*F8/1000</f>
        <v>0</v>
      </c>
      <c r="G99" s="229"/>
      <c r="H99" s="235">
        <f>H98*H8/1000</f>
        <v>0.055979999999999995</v>
      </c>
      <c r="I99" s="216">
        <f>I98*I8/1000</f>
        <v>0.055187819519257976</v>
      </c>
      <c r="J99" s="235">
        <f>J98*J8/1000</f>
        <v>0.055979999999999995</v>
      </c>
      <c r="K99" s="214">
        <f t="shared" si="19"/>
        <v>0</v>
      </c>
      <c r="L99" s="337">
        <f>I99</f>
        <v>0.055187819519257976</v>
      </c>
      <c r="M99" s="214">
        <f t="shared" si="20"/>
        <v>0</v>
      </c>
      <c r="N99" s="223">
        <f t="shared" si="21"/>
        <v>-100</v>
      </c>
      <c r="O99" s="223">
        <f t="shared" si="22"/>
        <v>0</v>
      </c>
      <c r="P99" s="223"/>
      <c r="Q99" s="38">
        <f>Q98*Q8/1000</f>
        <v>0</v>
      </c>
      <c r="R99" s="16">
        <f>Q99/(F99+1E-106)*100-100</f>
        <v>-100</v>
      </c>
      <c r="S99" s="38">
        <f>S98*S8/1000</f>
        <v>0</v>
      </c>
      <c r="T99" s="17">
        <f t="shared" si="18"/>
        <v>-100</v>
      </c>
      <c r="U99" s="17">
        <f>S99/(F99+1E-106)*100-100</f>
        <v>-100</v>
      </c>
      <c r="V99" s="16">
        <f>S99-K99</f>
        <v>0</v>
      </c>
      <c r="W99" s="16"/>
      <c r="X99" s="49"/>
    </row>
    <row r="100" spans="1:24" s="33" customFormat="1" ht="12" customHeight="1">
      <c r="A100" s="3"/>
      <c r="B100" s="4" t="s">
        <v>73</v>
      </c>
      <c r="C100" s="40" t="s">
        <v>74</v>
      </c>
      <c r="D100" s="220"/>
      <c r="E100" s="224">
        <f>E116/(E99+1E-108)</f>
        <v>0</v>
      </c>
      <c r="F100" s="220"/>
      <c r="G100" s="224">
        <f>G116/(G99+1E-108)</f>
        <v>0</v>
      </c>
      <c r="H100" s="235">
        <f>I100</f>
        <v>14.0662136</v>
      </c>
      <c r="I100" s="220">
        <f>(9.79+0.098*21.74)*1.18</f>
        <v>14.0662136</v>
      </c>
      <c r="J100" s="235">
        <f>H100*1.1</f>
        <v>15.47283496</v>
      </c>
      <c r="K100" s="214">
        <f t="shared" si="19"/>
        <v>10.000000000000014</v>
      </c>
      <c r="L100" s="337">
        <f>I100*1.1</f>
        <v>15.47283496</v>
      </c>
      <c r="M100" s="214">
        <f t="shared" si="20"/>
        <v>10.000000000000014</v>
      </c>
      <c r="N100" s="223">
        <f t="shared" si="21"/>
        <v>-28.907662826903078</v>
      </c>
      <c r="O100" s="227">
        <f t="shared" si="22"/>
        <v>0</v>
      </c>
      <c r="P100" s="227"/>
      <c r="Q100" s="25">
        <f>F100</f>
        <v>0</v>
      </c>
      <c r="R100" s="9">
        <f>Q100/(F100+1E-106)*100-100</f>
        <v>-100</v>
      </c>
      <c r="S100" s="25">
        <f>Q100</f>
        <v>0</v>
      </c>
      <c r="T100" s="8">
        <f t="shared" si="18"/>
        <v>-100</v>
      </c>
      <c r="U100" s="8">
        <f>S100/(F100+1E-106)*100-100</f>
        <v>-100</v>
      </c>
      <c r="V100" s="9">
        <f>S100-K100</f>
        <v>-10.000000000000014</v>
      </c>
      <c r="W100" s="9"/>
      <c r="X100" s="50"/>
    </row>
    <row r="101" spans="1:24" ht="16.5" customHeight="1">
      <c r="A101" s="166"/>
      <c r="B101" s="167" t="s">
        <v>75</v>
      </c>
      <c r="C101" s="168"/>
      <c r="D101" s="231"/>
      <c r="E101" s="231"/>
      <c r="F101" s="231"/>
      <c r="G101" s="231"/>
      <c r="H101" s="228"/>
      <c r="I101" s="228"/>
      <c r="J101" s="228"/>
      <c r="K101" s="346"/>
      <c r="L101" s="347"/>
      <c r="M101" s="346"/>
      <c r="N101" s="182"/>
      <c r="O101" s="182"/>
      <c r="P101" s="231"/>
      <c r="Q101" s="262"/>
      <c r="R101" s="263"/>
      <c r="S101" s="262"/>
      <c r="T101" s="264"/>
      <c r="U101" s="264"/>
      <c r="V101" s="265"/>
      <c r="W101" s="263"/>
      <c r="X101" s="49"/>
    </row>
    <row r="102" spans="1:24" ht="12" customHeight="1">
      <c r="A102" s="174">
        <v>10</v>
      </c>
      <c r="B102" s="167" t="s">
        <v>76</v>
      </c>
      <c r="C102" s="168" t="s">
        <v>77</v>
      </c>
      <c r="D102" s="181">
        <f>SUMIF(D104:D110,"&gt;0")</f>
        <v>0</v>
      </c>
      <c r="E102" s="181">
        <f>SUMIF(E104:E110,"&gt;0")</f>
        <v>0</v>
      </c>
      <c r="F102" s="181">
        <f>SUMIF(F104:F110,"&gt;0")</f>
        <v>0</v>
      </c>
      <c r="G102" s="181">
        <f>SUMIF(G104:G110,"&gt;0")</f>
        <v>0</v>
      </c>
      <c r="H102" s="266">
        <f>H104</f>
        <v>107.69040602290406</v>
      </c>
      <c r="I102" s="181">
        <f>SUMIF(I104:I110,"&gt;0")</f>
        <v>107.69040602290406</v>
      </c>
      <c r="J102" s="266">
        <f>J104</f>
        <v>123.84396692633965</v>
      </c>
      <c r="K102" s="346">
        <f t="shared" si="19"/>
        <v>14.999999999999986</v>
      </c>
      <c r="L102" s="347">
        <f>L104</f>
        <v>123.84396692633965</v>
      </c>
      <c r="M102" s="346">
        <f t="shared" si="20"/>
        <v>14.999999999999986</v>
      </c>
      <c r="N102" s="182">
        <f t="shared" si="21"/>
        <v>-86.0711826113742</v>
      </c>
      <c r="O102" s="181">
        <f>L102/($L$163+1E-103)*100</f>
        <v>31.04754404654466</v>
      </c>
      <c r="P102" s="181">
        <f>M102/($L$163+1E-103)*100</f>
        <v>3.760483229475102</v>
      </c>
      <c r="Q102" s="172">
        <f>SUMIF(Q104:Q110,"&gt;0")</f>
        <v>0</v>
      </c>
      <c r="R102" s="172">
        <f>Q102/(F102+1E-106)*100-100</f>
        <v>-100</v>
      </c>
      <c r="S102" s="172">
        <f>SUMIF(S104:S110,"&gt;0")</f>
        <v>0</v>
      </c>
      <c r="T102" s="171">
        <f t="shared" si="18"/>
        <v>-100</v>
      </c>
      <c r="U102" s="171">
        <f>S102/(F102+1E-106)*100-100</f>
        <v>-100</v>
      </c>
      <c r="V102" s="172">
        <f aca="true" t="shared" si="23" ref="V102:V125">S102-K102</f>
        <v>-14.999999999999986</v>
      </c>
      <c r="W102" s="175"/>
      <c r="X102" s="49"/>
    </row>
    <row r="103" spans="1:24" s="332" customFormat="1" ht="13.5" customHeight="1">
      <c r="A103" s="323"/>
      <c r="B103" s="324" t="s">
        <v>212</v>
      </c>
      <c r="C103" s="325"/>
      <c r="D103" s="326"/>
      <c r="E103" s="326"/>
      <c r="F103" s="326"/>
      <c r="G103" s="326"/>
      <c r="H103" s="326"/>
      <c r="I103" s="348"/>
      <c r="J103" s="326"/>
      <c r="K103" s="346"/>
      <c r="L103" s="348"/>
      <c r="M103" s="346"/>
      <c r="N103" s="326"/>
      <c r="O103" s="326"/>
      <c r="P103" s="327"/>
      <c r="Q103" s="327"/>
      <c r="R103" s="327"/>
      <c r="S103" s="328"/>
      <c r="T103" s="328"/>
      <c r="U103" s="327"/>
      <c r="V103" s="329"/>
      <c r="W103" s="330"/>
      <c r="X103" s="331"/>
    </row>
    <row r="104" spans="1:24" ht="12" customHeight="1">
      <c r="A104" s="12" t="s">
        <v>31</v>
      </c>
      <c r="B104" s="13" t="s">
        <v>78</v>
      </c>
      <c r="C104" s="40" t="s">
        <v>77</v>
      </c>
      <c r="D104" s="219">
        <f>D30*D31/1000</f>
        <v>0</v>
      </c>
      <c r="E104" s="229"/>
      <c r="F104" s="219">
        <f>F30*F31/1000</f>
        <v>0</v>
      </c>
      <c r="G104" s="229"/>
      <c r="H104" s="230">
        <f>H30*H31/1000</f>
        <v>107.69040602290406</v>
      </c>
      <c r="I104" s="216">
        <f>I30*I31/1000</f>
        <v>107.69040602290406</v>
      </c>
      <c r="J104" s="230">
        <f>J30*J31/1000</f>
        <v>123.84396692633965</v>
      </c>
      <c r="K104" s="214">
        <f t="shared" si="19"/>
        <v>14.999999999999986</v>
      </c>
      <c r="L104" s="216">
        <f>L30*L31/1000</f>
        <v>123.84396692633965</v>
      </c>
      <c r="M104" s="214">
        <f t="shared" si="20"/>
        <v>14.999999999999986</v>
      </c>
      <c r="N104" s="223">
        <f t="shared" si="21"/>
        <v>-86.0711826113742</v>
      </c>
      <c r="O104" s="223"/>
      <c r="P104" s="223"/>
      <c r="Q104" s="249">
        <f>Q30*Q31/1000</f>
        <v>0</v>
      </c>
      <c r="R104" s="250">
        <f aca="true" t="shared" si="24" ref="R104:R125">Q104/(F104+1E-106)*100-100</f>
        <v>-100</v>
      </c>
      <c r="S104" s="249">
        <f>S30*S31/1000</f>
        <v>0</v>
      </c>
      <c r="T104" s="256">
        <f t="shared" si="18"/>
        <v>-100</v>
      </c>
      <c r="U104" s="256">
        <f aca="true" t="shared" si="25" ref="U104:U127">S104/(F104+1E-106)*100-100</f>
        <v>-100</v>
      </c>
      <c r="V104" s="250">
        <f t="shared" si="23"/>
        <v>-14.999999999999986</v>
      </c>
      <c r="W104" s="267"/>
      <c r="X104" s="49"/>
    </row>
    <row r="105" spans="1:24" ht="12" customHeight="1" hidden="1">
      <c r="A105" s="12" t="s">
        <v>31</v>
      </c>
      <c r="B105" s="13" t="s">
        <v>79</v>
      </c>
      <c r="C105" s="40" t="s">
        <v>77</v>
      </c>
      <c r="D105" s="219">
        <f>D36*D37/1000</f>
        <v>0</v>
      </c>
      <c r="E105" s="229"/>
      <c r="F105" s="219">
        <f>F36*F37/1000</f>
        <v>0</v>
      </c>
      <c r="G105" s="229"/>
      <c r="H105" s="230"/>
      <c r="I105" s="216">
        <f>I36*I37/1000</f>
        <v>0</v>
      </c>
      <c r="J105" s="230"/>
      <c r="K105" s="214" t="e">
        <f t="shared" si="19"/>
        <v>#DIV/0!</v>
      </c>
      <c r="L105" s="216">
        <f>L36*L37/1000</f>
        <v>10</v>
      </c>
      <c r="M105" s="214" t="e">
        <f t="shared" si="20"/>
        <v>#DIV/0!</v>
      </c>
      <c r="N105" s="223" t="e">
        <f t="shared" si="21"/>
        <v>#DIV/0!</v>
      </c>
      <c r="O105" s="223"/>
      <c r="P105" s="223"/>
      <c r="Q105" s="249">
        <f>Q36*Q37/1000</f>
        <v>0</v>
      </c>
      <c r="R105" s="250">
        <f t="shared" si="24"/>
        <v>-100</v>
      </c>
      <c r="S105" s="249">
        <f>S36*S37/1000</f>
        <v>0</v>
      </c>
      <c r="T105" s="251">
        <f t="shared" si="18"/>
        <v>-100</v>
      </c>
      <c r="U105" s="251">
        <f t="shared" si="25"/>
        <v>-100</v>
      </c>
      <c r="V105" s="250" t="e">
        <f t="shared" si="23"/>
        <v>#DIV/0!</v>
      </c>
      <c r="W105" s="267"/>
      <c r="X105" s="49"/>
    </row>
    <row r="106" spans="1:24" ht="12" customHeight="1" hidden="1">
      <c r="A106" s="12" t="s">
        <v>31</v>
      </c>
      <c r="B106" s="13" t="s">
        <v>80</v>
      </c>
      <c r="C106" s="40" t="s">
        <v>77</v>
      </c>
      <c r="D106" s="219">
        <f>D42*D43/1000</f>
        <v>0</v>
      </c>
      <c r="E106" s="229"/>
      <c r="F106" s="219">
        <f>F42*F43/1000</f>
        <v>0</v>
      </c>
      <c r="G106" s="229"/>
      <c r="H106" s="230"/>
      <c r="I106" s="216">
        <f>I42*I43/1000</f>
        <v>0</v>
      </c>
      <c r="J106" s="230"/>
      <c r="K106" s="214" t="e">
        <f t="shared" si="19"/>
        <v>#DIV/0!</v>
      </c>
      <c r="L106" s="216">
        <f>L42*L43/1000</f>
        <v>10</v>
      </c>
      <c r="M106" s="214" t="e">
        <f t="shared" si="20"/>
        <v>#DIV/0!</v>
      </c>
      <c r="N106" s="223" t="e">
        <f t="shared" si="21"/>
        <v>#DIV/0!</v>
      </c>
      <c r="O106" s="223"/>
      <c r="P106" s="223"/>
      <c r="Q106" s="249">
        <f>Q42*Q43/1000</f>
        <v>0</v>
      </c>
      <c r="R106" s="250">
        <f t="shared" si="24"/>
        <v>-100</v>
      </c>
      <c r="S106" s="249">
        <f>S42*S43/1000</f>
        <v>0</v>
      </c>
      <c r="T106" s="251">
        <f t="shared" si="18"/>
        <v>-100</v>
      </c>
      <c r="U106" s="251">
        <f t="shared" si="25"/>
        <v>-100</v>
      </c>
      <c r="V106" s="250" t="e">
        <f t="shared" si="23"/>
        <v>#DIV/0!</v>
      </c>
      <c r="W106" s="267"/>
      <c r="X106" s="49"/>
    </row>
    <row r="107" spans="1:24" ht="12" customHeight="1" hidden="1">
      <c r="A107" s="12" t="s">
        <v>31</v>
      </c>
      <c r="B107" s="13" t="s">
        <v>81</v>
      </c>
      <c r="C107" s="40" t="s">
        <v>77</v>
      </c>
      <c r="D107" s="219">
        <f>D48*D49/1000</f>
        <v>0</v>
      </c>
      <c r="E107" s="229"/>
      <c r="F107" s="219">
        <f>F48*F49/1000</f>
        <v>0</v>
      </c>
      <c r="G107" s="229"/>
      <c r="H107" s="230"/>
      <c r="I107" s="216">
        <f>I48*I49/1000</f>
        <v>0</v>
      </c>
      <c r="J107" s="230"/>
      <c r="K107" s="214" t="e">
        <f t="shared" si="19"/>
        <v>#DIV/0!</v>
      </c>
      <c r="L107" s="216">
        <f>L48*L49/1000</f>
        <v>10</v>
      </c>
      <c r="M107" s="214" t="e">
        <f t="shared" si="20"/>
        <v>#DIV/0!</v>
      </c>
      <c r="N107" s="223" t="e">
        <f t="shared" si="21"/>
        <v>#DIV/0!</v>
      </c>
      <c r="O107" s="223"/>
      <c r="P107" s="223"/>
      <c r="Q107" s="249">
        <f>Q48*Q49/1000</f>
        <v>0</v>
      </c>
      <c r="R107" s="250">
        <f t="shared" si="24"/>
        <v>-100</v>
      </c>
      <c r="S107" s="249">
        <f>S48*S49/1000</f>
        <v>0</v>
      </c>
      <c r="T107" s="251">
        <f t="shared" si="18"/>
        <v>-100</v>
      </c>
      <c r="U107" s="251">
        <f t="shared" si="25"/>
        <v>-100</v>
      </c>
      <c r="V107" s="250" t="e">
        <f t="shared" si="23"/>
        <v>#DIV/0!</v>
      </c>
      <c r="W107" s="267"/>
      <c r="X107" s="49"/>
    </row>
    <row r="108" spans="1:24" ht="12" customHeight="1" hidden="1">
      <c r="A108" s="12" t="s">
        <v>31</v>
      </c>
      <c r="B108" s="13" t="s">
        <v>82</v>
      </c>
      <c r="C108" s="40" t="s">
        <v>77</v>
      </c>
      <c r="D108" s="219">
        <f>D54*D55/1000</f>
        <v>0</v>
      </c>
      <c r="E108" s="229"/>
      <c r="F108" s="219">
        <f>F54*F55/1000</f>
        <v>0</v>
      </c>
      <c r="G108" s="229"/>
      <c r="H108" s="230"/>
      <c r="I108" s="216">
        <f>I54*I55/1000</f>
        <v>0</v>
      </c>
      <c r="J108" s="230"/>
      <c r="K108" s="214" t="e">
        <f t="shared" si="19"/>
        <v>#DIV/0!</v>
      </c>
      <c r="L108" s="216">
        <f>L54*L55/1000</f>
        <v>10</v>
      </c>
      <c r="M108" s="214" t="e">
        <f t="shared" si="20"/>
        <v>#DIV/0!</v>
      </c>
      <c r="N108" s="223" t="e">
        <f t="shared" si="21"/>
        <v>#DIV/0!</v>
      </c>
      <c r="O108" s="223"/>
      <c r="P108" s="223"/>
      <c r="Q108" s="249">
        <f>Q54*Q55/1000</f>
        <v>0</v>
      </c>
      <c r="R108" s="250">
        <f t="shared" si="24"/>
        <v>-100</v>
      </c>
      <c r="S108" s="249">
        <f>S54*S55/1000</f>
        <v>0</v>
      </c>
      <c r="T108" s="251">
        <f t="shared" si="18"/>
        <v>-100</v>
      </c>
      <c r="U108" s="251">
        <f t="shared" si="25"/>
        <v>-100</v>
      </c>
      <c r="V108" s="250" t="e">
        <f t="shared" si="23"/>
        <v>#DIV/0!</v>
      </c>
      <c r="W108" s="267"/>
      <c r="X108" s="49"/>
    </row>
    <row r="109" spans="1:24" ht="12" customHeight="1" hidden="1">
      <c r="A109" s="12" t="s">
        <v>31</v>
      </c>
      <c r="B109" s="13" t="s">
        <v>83</v>
      </c>
      <c r="C109" s="40" t="s">
        <v>77</v>
      </c>
      <c r="D109" s="219">
        <f>D60*D61/1000</f>
        <v>0</v>
      </c>
      <c r="E109" s="229"/>
      <c r="F109" s="219">
        <f>F60*F61/1000</f>
        <v>0</v>
      </c>
      <c r="G109" s="229"/>
      <c r="H109" s="230"/>
      <c r="I109" s="216">
        <f>I60*I61/1000</f>
        <v>0</v>
      </c>
      <c r="J109" s="230"/>
      <c r="K109" s="214" t="e">
        <f t="shared" si="19"/>
        <v>#DIV/0!</v>
      </c>
      <c r="L109" s="216">
        <f>L60*L61/1000</f>
        <v>10</v>
      </c>
      <c r="M109" s="214" t="e">
        <f t="shared" si="20"/>
        <v>#DIV/0!</v>
      </c>
      <c r="N109" s="223" t="e">
        <f t="shared" si="21"/>
        <v>#DIV/0!</v>
      </c>
      <c r="O109" s="223"/>
      <c r="P109" s="223"/>
      <c r="Q109" s="249">
        <f>Q60*Q61/1000</f>
        <v>0</v>
      </c>
      <c r="R109" s="250">
        <f t="shared" si="24"/>
        <v>-100</v>
      </c>
      <c r="S109" s="249">
        <f>S60*S61/1000</f>
        <v>0</v>
      </c>
      <c r="T109" s="251">
        <f t="shared" si="18"/>
        <v>-100</v>
      </c>
      <c r="U109" s="251">
        <f t="shared" si="25"/>
        <v>-100</v>
      </c>
      <c r="V109" s="250" t="e">
        <f t="shared" si="23"/>
        <v>#DIV/0!</v>
      </c>
      <c r="W109" s="267"/>
      <c r="X109" s="49"/>
    </row>
    <row r="110" spans="1:24" ht="12" customHeight="1" hidden="1">
      <c r="A110" s="12" t="s">
        <v>31</v>
      </c>
      <c r="B110" s="13" t="s">
        <v>84</v>
      </c>
      <c r="C110" s="40" t="s">
        <v>77</v>
      </c>
      <c r="D110" s="219">
        <f>D66*D67/1000</f>
        <v>0</v>
      </c>
      <c r="E110" s="229"/>
      <c r="F110" s="219">
        <f>F66*F67/1000</f>
        <v>0</v>
      </c>
      <c r="G110" s="229"/>
      <c r="H110" s="230"/>
      <c r="I110" s="216">
        <f>I66*I67/1000</f>
        <v>0</v>
      </c>
      <c r="J110" s="230"/>
      <c r="K110" s="214" t="e">
        <f t="shared" si="19"/>
        <v>#DIV/0!</v>
      </c>
      <c r="L110" s="216">
        <f>L66*L67/1000</f>
        <v>10</v>
      </c>
      <c r="M110" s="214" t="e">
        <f t="shared" si="20"/>
        <v>#DIV/0!</v>
      </c>
      <c r="N110" s="223" t="e">
        <f t="shared" si="21"/>
        <v>#DIV/0!</v>
      </c>
      <c r="O110" s="223"/>
      <c r="P110" s="223"/>
      <c r="Q110" s="249">
        <f>Q66*Q67/1000</f>
        <v>0</v>
      </c>
      <c r="R110" s="250">
        <f t="shared" si="24"/>
        <v>-100</v>
      </c>
      <c r="S110" s="249">
        <f>S66*S67/1000</f>
        <v>0</v>
      </c>
      <c r="T110" s="251">
        <f t="shared" si="18"/>
        <v>-100</v>
      </c>
      <c r="U110" s="251">
        <f t="shared" si="25"/>
        <v>-100</v>
      </c>
      <c r="V110" s="250" t="e">
        <f t="shared" si="23"/>
        <v>#DIV/0!</v>
      </c>
      <c r="W110" s="267"/>
      <c r="X110" s="49"/>
    </row>
    <row r="111" spans="1:24" s="33" customFormat="1" ht="12" customHeight="1">
      <c r="A111" s="174">
        <v>11</v>
      </c>
      <c r="B111" s="167" t="s">
        <v>49</v>
      </c>
      <c r="C111" s="168" t="s">
        <v>77</v>
      </c>
      <c r="D111" s="181">
        <f>D112+D113+D114+D115</f>
        <v>0</v>
      </c>
      <c r="E111" s="181">
        <f>E112+E113+E114+E115</f>
        <v>0</v>
      </c>
      <c r="F111" s="181">
        <f>F112+F113+F114+F115</f>
        <v>0</v>
      </c>
      <c r="G111" s="181">
        <f>G112+G113+G114+G115</f>
        <v>0</v>
      </c>
      <c r="H111" s="266">
        <f>H74*H75</f>
        <v>14.949</v>
      </c>
      <c r="I111" s="181">
        <f>I112+I113+I114+I115</f>
        <v>10.55753552</v>
      </c>
      <c r="J111" s="266">
        <f>J74*J75</f>
        <v>16.742880000000003</v>
      </c>
      <c r="K111" s="346">
        <f t="shared" si="19"/>
        <v>12.000000000000028</v>
      </c>
      <c r="L111" s="347">
        <f>L112</f>
        <v>11.8244397824</v>
      </c>
      <c r="M111" s="346">
        <f t="shared" si="20"/>
        <v>12.000000000000014</v>
      </c>
      <c r="N111" s="182">
        <f t="shared" si="21"/>
        <v>13.662890143892355</v>
      </c>
      <c r="O111" s="181">
        <f>L111/($L$163+1E-103)*100</f>
        <v>2.9643738333102316</v>
      </c>
      <c r="P111" s="181">
        <f>M111/($L$163+1E-103)*100</f>
        <v>3.008386583580088</v>
      </c>
      <c r="Q111" s="172" t="e">
        <f>#REF!+#REF!</f>
        <v>#REF!</v>
      </c>
      <c r="R111" s="172" t="e">
        <f t="shared" si="24"/>
        <v>#REF!</v>
      </c>
      <c r="S111" s="172" t="e">
        <f>#REF!+#REF!</f>
        <v>#REF!</v>
      </c>
      <c r="T111" s="171" t="e">
        <f t="shared" si="18"/>
        <v>#REF!</v>
      </c>
      <c r="U111" s="171" t="e">
        <f t="shared" si="25"/>
        <v>#REF!</v>
      </c>
      <c r="V111" s="172" t="e">
        <f t="shared" si="23"/>
        <v>#REF!</v>
      </c>
      <c r="W111" s="175"/>
      <c r="X111" s="50"/>
    </row>
    <row r="112" spans="1:25" ht="12" customHeight="1">
      <c r="A112" s="12" t="s">
        <v>31</v>
      </c>
      <c r="B112" s="13" t="s">
        <v>85</v>
      </c>
      <c r="C112" s="40" t="s">
        <v>77</v>
      </c>
      <c r="D112" s="219">
        <f>D74*D75+D77*12*D78</f>
        <v>0</v>
      </c>
      <c r="E112" s="229"/>
      <c r="F112" s="219">
        <f>F74*F75+F77*12*F78</f>
        <v>0</v>
      </c>
      <c r="G112" s="229"/>
      <c r="H112" s="230">
        <v>14.95</v>
      </c>
      <c r="I112" s="216">
        <f>I75*I74</f>
        <v>10.55753552</v>
      </c>
      <c r="J112" s="230">
        <v>14.95</v>
      </c>
      <c r="K112" s="214">
        <f t="shared" si="19"/>
        <v>0</v>
      </c>
      <c r="L112" s="216">
        <f>L75*L74</f>
        <v>11.8244397824</v>
      </c>
      <c r="M112" s="214">
        <f t="shared" si="20"/>
        <v>12.000000000000014</v>
      </c>
      <c r="N112" s="223">
        <f t="shared" si="21"/>
        <v>13.662890143892355</v>
      </c>
      <c r="O112" s="223"/>
      <c r="P112" s="223"/>
      <c r="Q112" s="249"/>
      <c r="R112" s="250">
        <f t="shared" si="24"/>
        <v>-100</v>
      </c>
      <c r="S112" s="249"/>
      <c r="T112" s="256">
        <f t="shared" si="18"/>
        <v>-100</v>
      </c>
      <c r="U112" s="256">
        <f t="shared" si="25"/>
        <v>-100</v>
      </c>
      <c r="V112" s="250">
        <f t="shared" si="23"/>
        <v>0</v>
      </c>
      <c r="W112" s="267"/>
      <c r="X112" s="49"/>
      <c r="Y112" s="21"/>
    </row>
    <row r="113" spans="1:25" ht="12" customHeight="1" hidden="1">
      <c r="A113" s="12" t="s">
        <v>31</v>
      </c>
      <c r="B113" s="13" t="s">
        <v>86</v>
      </c>
      <c r="C113" s="40" t="s">
        <v>77</v>
      </c>
      <c r="D113" s="219">
        <f>D80*D81+D83*12*D84</f>
        <v>0</v>
      </c>
      <c r="E113" s="229"/>
      <c r="F113" s="219">
        <f>F80*F81+F83*12*F84</f>
        <v>0</v>
      </c>
      <c r="G113" s="229"/>
      <c r="H113" s="230"/>
      <c r="I113" s="216">
        <f>I80*I81+I83*12*I84</f>
        <v>0</v>
      </c>
      <c r="J113" s="230"/>
      <c r="K113" s="214" t="e">
        <f t="shared" si="19"/>
        <v>#DIV/0!</v>
      </c>
      <c r="L113" s="216" t="e">
        <f>L80*L81+L83*12*L84</f>
        <v>#DIV/0!</v>
      </c>
      <c r="M113" s="214" t="e">
        <f t="shared" si="20"/>
        <v>#DIV/0!</v>
      </c>
      <c r="N113" s="223" t="e">
        <f t="shared" si="21"/>
        <v>#DIV/0!</v>
      </c>
      <c r="O113" s="223"/>
      <c r="P113" s="223"/>
      <c r="Q113" s="249"/>
      <c r="R113" s="250">
        <f t="shared" si="24"/>
        <v>-100</v>
      </c>
      <c r="S113" s="249"/>
      <c r="T113" s="251">
        <f t="shared" si="18"/>
        <v>-100</v>
      </c>
      <c r="U113" s="251">
        <f t="shared" si="25"/>
        <v>-100</v>
      </c>
      <c r="V113" s="250" t="e">
        <f t="shared" si="23"/>
        <v>#DIV/0!</v>
      </c>
      <c r="W113" s="267"/>
      <c r="X113" s="49"/>
      <c r="Y113" s="21"/>
    </row>
    <row r="114" spans="1:25" ht="12" customHeight="1" hidden="1">
      <c r="A114" s="12" t="s">
        <v>31</v>
      </c>
      <c r="B114" s="13" t="s">
        <v>87</v>
      </c>
      <c r="C114" s="40" t="s">
        <v>77</v>
      </c>
      <c r="D114" s="219">
        <f>D86*D87+D89*12*D90</f>
        <v>0</v>
      </c>
      <c r="E114" s="229"/>
      <c r="F114" s="219">
        <f>F86*F87+F89*12*F90</f>
        <v>0</v>
      </c>
      <c r="G114" s="229"/>
      <c r="H114" s="230"/>
      <c r="I114" s="216">
        <f>I86*I87+I89*12*I90</f>
        <v>0</v>
      </c>
      <c r="J114" s="230"/>
      <c r="K114" s="214" t="e">
        <f t="shared" si="19"/>
        <v>#DIV/0!</v>
      </c>
      <c r="L114" s="216" t="e">
        <f>L86*L87+L89*12*L90</f>
        <v>#DIV/0!</v>
      </c>
      <c r="M114" s="214" t="e">
        <f t="shared" si="20"/>
        <v>#DIV/0!</v>
      </c>
      <c r="N114" s="223" t="e">
        <f t="shared" si="21"/>
        <v>#DIV/0!</v>
      </c>
      <c r="O114" s="223"/>
      <c r="P114" s="223"/>
      <c r="Q114" s="249"/>
      <c r="R114" s="250">
        <f t="shared" si="24"/>
        <v>-100</v>
      </c>
      <c r="S114" s="249"/>
      <c r="T114" s="251">
        <f t="shared" si="18"/>
        <v>-100</v>
      </c>
      <c r="U114" s="251">
        <f t="shared" si="25"/>
        <v>-100</v>
      </c>
      <c r="V114" s="250" t="e">
        <f t="shared" si="23"/>
        <v>#DIV/0!</v>
      </c>
      <c r="W114" s="267"/>
      <c r="X114" s="49"/>
      <c r="Y114" s="21"/>
    </row>
    <row r="115" spans="1:25" ht="12" customHeight="1" hidden="1">
      <c r="A115" s="12" t="s">
        <v>31</v>
      </c>
      <c r="B115" s="13" t="s">
        <v>88</v>
      </c>
      <c r="C115" s="40" t="s">
        <v>77</v>
      </c>
      <c r="D115" s="219">
        <f>D92*D93+D95*12*D96</f>
        <v>0</v>
      </c>
      <c r="E115" s="229"/>
      <c r="F115" s="219">
        <f>F92*F93+F95*12*F96</f>
        <v>0</v>
      </c>
      <c r="G115" s="229"/>
      <c r="H115" s="230"/>
      <c r="I115" s="216">
        <f>I92*I93+I95*12*I96</f>
        <v>0</v>
      </c>
      <c r="J115" s="230"/>
      <c r="K115" s="214" t="e">
        <f t="shared" si="19"/>
        <v>#DIV/0!</v>
      </c>
      <c r="L115" s="216" t="e">
        <f>L92*L93+L95*12*L96</f>
        <v>#DIV/0!</v>
      </c>
      <c r="M115" s="214" t="e">
        <f t="shared" si="20"/>
        <v>#DIV/0!</v>
      </c>
      <c r="N115" s="223" t="e">
        <f t="shared" si="21"/>
        <v>#DIV/0!</v>
      </c>
      <c r="O115" s="223"/>
      <c r="P115" s="223"/>
      <c r="Q115" s="249"/>
      <c r="R115" s="250">
        <f t="shared" si="24"/>
        <v>-100</v>
      </c>
      <c r="S115" s="249"/>
      <c r="T115" s="251">
        <f t="shared" si="18"/>
        <v>-100</v>
      </c>
      <c r="U115" s="251">
        <f t="shared" si="25"/>
        <v>-100</v>
      </c>
      <c r="V115" s="250" t="e">
        <f t="shared" si="23"/>
        <v>#DIV/0!</v>
      </c>
      <c r="W115" s="267"/>
      <c r="X115" s="49"/>
      <c r="Y115" s="21"/>
    </row>
    <row r="116" spans="1:24" s="33" customFormat="1" ht="12" customHeight="1">
      <c r="A116" s="174">
        <v>12</v>
      </c>
      <c r="B116" s="167" t="s">
        <v>68</v>
      </c>
      <c r="C116" s="176" t="s">
        <v>77</v>
      </c>
      <c r="D116" s="181">
        <f>D100*D99</f>
        <v>0</v>
      </c>
      <c r="E116" s="228"/>
      <c r="F116" s="181">
        <f>F100*F99</f>
        <v>0</v>
      </c>
      <c r="G116" s="228"/>
      <c r="H116" s="266">
        <f>H99*H100</f>
        <v>0.7874266373279999</v>
      </c>
      <c r="I116" s="181">
        <f>I100*I99</f>
        <v>0.7762836574761319</v>
      </c>
      <c r="J116" s="266">
        <f>J99*J100</f>
        <v>0.8661693010607999</v>
      </c>
      <c r="K116" s="346">
        <f t="shared" si="19"/>
        <v>10.000000000000014</v>
      </c>
      <c r="L116" s="346">
        <f>L100*L99</f>
        <v>0.8539120232237453</v>
      </c>
      <c r="M116" s="346">
        <f t="shared" si="20"/>
        <v>10.000000000000014</v>
      </c>
      <c r="N116" s="181">
        <f t="shared" si="21"/>
        <v>1188.1889118356817</v>
      </c>
      <c r="O116" s="181">
        <f aca="true" t="shared" si="26" ref="O116:P118">L116/($L$163+1E-103)*100</f>
        <v>0.2140747895186701</v>
      </c>
      <c r="P116" s="181">
        <f t="shared" si="26"/>
        <v>2.5069888196500743</v>
      </c>
      <c r="Q116" s="172">
        <f>Q100*Q99</f>
        <v>0</v>
      </c>
      <c r="R116" s="172">
        <f t="shared" si="24"/>
        <v>-100</v>
      </c>
      <c r="S116" s="172">
        <f>S100*S99</f>
        <v>0</v>
      </c>
      <c r="T116" s="171">
        <f t="shared" si="18"/>
        <v>-100</v>
      </c>
      <c r="U116" s="171">
        <f t="shared" si="25"/>
        <v>-100</v>
      </c>
      <c r="V116" s="172">
        <f t="shared" si="23"/>
        <v>-10.000000000000014</v>
      </c>
      <c r="W116" s="175"/>
      <c r="X116" s="50"/>
    </row>
    <row r="117" spans="1:24" s="33" customFormat="1" ht="12" customHeight="1">
      <c r="A117" s="174">
        <v>13</v>
      </c>
      <c r="B117" s="167" t="s">
        <v>89</v>
      </c>
      <c r="C117" s="176" t="s">
        <v>77</v>
      </c>
      <c r="D117" s="228"/>
      <c r="E117" s="228"/>
      <c r="F117" s="228"/>
      <c r="G117" s="228"/>
      <c r="H117" s="266">
        <v>0.65</v>
      </c>
      <c r="I117" s="228">
        <v>0.5</v>
      </c>
      <c r="J117" s="266">
        <v>0.65</v>
      </c>
      <c r="K117" s="346">
        <f t="shared" si="19"/>
        <v>0</v>
      </c>
      <c r="L117" s="393">
        <v>0.5</v>
      </c>
      <c r="M117" s="346">
        <f t="shared" si="20"/>
        <v>0</v>
      </c>
      <c r="N117" s="181">
        <f t="shared" si="21"/>
        <v>-100</v>
      </c>
      <c r="O117" s="181">
        <f t="shared" si="26"/>
        <v>0.12534944098250353</v>
      </c>
      <c r="P117" s="181">
        <f t="shared" si="26"/>
        <v>0</v>
      </c>
      <c r="Q117" s="178">
        <f>F117</f>
        <v>0</v>
      </c>
      <c r="R117" s="172">
        <f t="shared" si="24"/>
        <v>-100</v>
      </c>
      <c r="S117" s="172">
        <f>Q117*1.03</f>
        <v>0</v>
      </c>
      <c r="T117" s="171">
        <f t="shared" si="18"/>
        <v>-100</v>
      </c>
      <c r="U117" s="171">
        <f t="shared" si="25"/>
        <v>-100</v>
      </c>
      <c r="V117" s="172">
        <f t="shared" si="23"/>
        <v>0</v>
      </c>
      <c r="W117" s="175"/>
      <c r="X117" s="50"/>
    </row>
    <row r="118" spans="1:24" s="33" customFormat="1" ht="12" customHeight="1">
      <c r="A118" s="174">
        <v>14</v>
      </c>
      <c r="B118" s="167" t="s">
        <v>90</v>
      </c>
      <c r="C118" s="176" t="s">
        <v>77</v>
      </c>
      <c r="D118" s="228"/>
      <c r="E118" s="228"/>
      <c r="F118" s="228"/>
      <c r="G118" s="228"/>
      <c r="H118" s="266">
        <v>60</v>
      </c>
      <c r="I118" s="228">
        <v>60</v>
      </c>
      <c r="J118" s="266">
        <f>L118</f>
        <v>64.25999999999999</v>
      </c>
      <c r="K118" s="346">
        <f t="shared" si="19"/>
        <v>7.099999999999994</v>
      </c>
      <c r="L118" s="393">
        <f>I118*1.071</f>
        <v>64.25999999999999</v>
      </c>
      <c r="M118" s="346">
        <f t="shared" si="20"/>
        <v>7.099999999999994</v>
      </c>
      <c r="N118" s="181">
        <f t="shared" si="21"/>
        <v>-88.16666666666667</v>
      </c>
      <c r="O118" s="181">
        <f t="shared" si="26"/>
        <v>16.10991015507135</v>
      </c>
      <c r="P118" s="181">
        <f t="shared" si="26"/>
        <v>1.7799620619515486</v>
      </c>
      <c r="Q118" s="178">
        <f>F118</f>
        <v>0</v>
      </c>
      <c r="R118" s="172">
        <f t="shared" si="24"/>
        <v>-100</v>
      </c>
      <c r="S118" s="172">
        <f>Q118*1.051</f>
        <v>0</v>
      </c>
      <c r="T118" s="171">
        <f t="shared" si="18"/>
        <v>-100</v>
      </c>
      <c r="U118" s="171">
        <f t="shared" si="25"/>
        <v>-100</v>
      </c>
      <c r="V118" s="172">
        <f t="shared" si="23"/>
        <v>-7.099999999999994</v>
      </c>
      <c r="W118" s="175"/>
      <c r="X118" s="50"/>
    </row>
    <row r="119" spans="1:24" ht="12" customHeight="1">
      <c r="A119" s="12"/>
      <c r="B119" s="13" t="s">
        <v>91</v>
      </c>
      <c r="C119" s="131" t="s">
        <v>92</v>
      </c>
      <c r="D119" s="219">
        <f>D118/12/(D120+1E-100)*1000</f>
        <v>0</v>
      </c>
      <c r="E119" s="214">
        <f>E118/12/(E120+1E-100)*1000</f>
        <v>0</v>
      </c>
      <c r="F119" s="219">
        <f>F118/12/(F120+1E-100)*1000</f>
        <v>0</v>
      </c>
      <c r="G119" s="214">
        <f>G118/3/(G120+1E-100)*1000</f>
        <v>0</v>
      </c>
      <c r="H119" s="214">
        <f>H118/12/(H120+1E-100)*1000</f>
        <v>5000</v>
      </c>
      <c r="I119" s="216">
        <f>I118/12/(I120+1E-100)*1000</f>
        <v>5000</v>
      </c>
      <c r="J119" s="214">
        <f>J118/12/(J120+1E-100)*1000</f>
        <v>5354.999999999999</v>
      </c>
      <c r="K119" s="214">
        <f t="shared" si="19"/>
        <v>7.099999999999966</v>
      </c>
      <c r="L119" s="219">
        <f>L118/12/(L120+1E-100)*1000</f>
        <v>5354.999999999999</v>
      </c>
      <c r="M119" s="214">
        <f t="shared" si="20"/>
        <v>7.099999999999966</v>
      </c>
      <c r="N119" s="223">
        <f t="shared" si="21"/>
        <v>-99.858</v>
      </c>
      <c r="O119" s="223"/>
      <c r="P119" s="223"/>
      <c r="Q119" s="249">
        <f>Q118/12/(Q120+1E-100)*1000</f>
        <v>0</v>
      </c>
      <c r="R119" s="250">
        <f t="shared" si="24"/>
        <v>-100</v>
      </c>
      <c r="S119" s="249">
        <f>S118/12/(S120+1E-100)*1000</f>
        <v>0</v>
      </c>
      <c r="T119" s="256">
        <f t="shared" si="18"/>
        <v>-100</v>
      </c>
      <c r="U119" s="256">
        <f t="shared" si="25"/>
        <v>-100</v>
      </c>
      <c r="V119" s="250">
        <f t="shared" si="23"/>
        <v>-7.099999999999966</v>
      </c>
      <c r="W119" s="267"/>
      <c r="X119" s="49"/>
    </row>
    <row r="120" spans="1:24" ht="12" customHeight="1">
      <c r="A120" s="12"/>
      <c r="B120" s="13" t="s">
        <v>93</v>
      </c>
      <c r="C120" s="131" t="s">
        <v>94</v>
      </c>
      <c r="D120" s="141"/>
      <c r="E120" s="229"/>
      <c r="F120" s="141"/>
      <c r="G120" s="229"/>
      <c r="H120" s="268">
        <v>1</v>
      </c>
      <c r="I120" s="220">
        <v>1</v>
      </c>
      <c r="J120" s="268">
        <v>1</v>
      </c>
      <c r="K120" s="214">
        <f t="shared" si="19"/>
        <v>0</v>
      </c>
      <c r="L120" s="141">
        <v>1</v>
      </c>
      <c r="M120" s="214">
        <f t="shared" si="20"/>
        <v>0</v>
      </c>
      <c r="N120" s="223">
        <f t="shared" si="21"/>
        <v>-100</v>
      </c>
      <c r="O120" s="223"/>
      <c r="P120" s="223"/>
      <c r="Q120" s="249">
        <f>F120</f>
        <v>0</v>
      </c>
      <c r="R120" s="250">
        <f t="shared" si="24"/>
        <v>-100</v>
      </c>
      <c r="S120" s="249">
        <f>F120</f>
        <v>0</v>
      </c>
      <c r="T120" s="256">
        <f t="shared" si="18"/>
        <v>-100</v>
      </c>
      <c r="U120" s="256">
        <f t="shared" si="25"/>
        <v>-100</v>
      </c>
      <c r="V120" s="250">
        <f t="shared" si="23"/>
        <v>0</v>
      </c>
      <c r="W120" s="267"/>
      <c r="X120" s="49"/>
    </row>
    <row r="121" spans="1:24" s="33" customFormat="1" ht="12.75" customHeight="1">
      <c r="A121" s="174">
        <v>15</v>
      </c>
      <c r="B121" s="167" t="s">
        <v>171</v>
      </c>
      <c r="C121" s="168" t="s">
        <v>77</v>
      </c>
      <c r="D121" s="228"/>
      <c r="E121" s="231"/>
      <c r="F121" s="228"/>
      <c r="G121" s="231"/>
      <c r="H121" s="228">
        <v>18.1</v>
      </c>
      <c r="I121" s="228">
        <f>I118*0.342</f>
        <v>20.520000000000003</v>
      </c>
      <c r="J121" s="228">
        <f>L121</f>
        <v>19.406519999999997</v>
      </c>
      <c r="K121" s="346">
        <f t="shared" si="19"/>
        <v>7.218342541436428</v>
      </c>
      <c r="L121" s="393">
        <f>L118*0.302</f>
        <v>19.406519999999997</v>
      </c>
      <c r="M121" s="346">
        <f t="shared" si="20"/>
        <v>-5.426315789473719</v>
      </c>
      <c r="N121" s="182">
        <f t="shared" si="21"/>
        <v>-126.44403406176276</v>
      </c>
      <c r="O121" s="181">
        <f aca="true" t="shared" si="27" ref="O121:P123">L121/($L$163+1E-103)*100</f>
        <v>4.865192866831547</v>
      </c>
      <c r="P121" s="181">
        <f t="shared" si="27"/>
        <v>-1.360371301610126</v>
      </c>
      <c r="Q121" s="177">
        <f>F121</f>
        <v>0</v>
      </c>
      <c r="R121" s="265">
        <f t="shared" si="24"/>
        <v>-100</v>
      </c>
      <c r="S121" s="177">
        <f>S118*0.342</f>
        <v>0</v>
      </c>
      <c r="T121" s="264">
        <f t="shared" si="18"/>
        <v>-100</v>
      </c>
      <c r="U121" s="264">
        <f t="shared" si="25"/>
        <v>-100</v>
      </c>
      <c r="V121" s="265">
        <f t="shared" si="23"/>
        <v>-7.218342541436428</v>
      </c>
      <c r="W121" s="269"/>
      <c r="X121" s="50"/>
    </row>
    <row r="122" spans="1:24" s="33" customFormat="1" ht="12" customHeight="1">
      <c r="A122" s="174">
        <v>16</v>
      </c>
      <c r="B122" s="167" t="s">
        <v>95</v>
      </c>
      <c r="C122" s="168" t="s">
        <v>77</v>
      </c>
      <c r="D122" s="228"/>
      <c r="E122" s="231"/>
      <c r="F122" s="228"/>
      <c r="G122" s="231"/>
      <c r="H122" s="228">
        <v>18.8</v>
      </c>
      <c r="I122" s="228">
        <v>9.4</v>
      </c>
      <c r="J122" s="228">
        <v>18.8</v>
      </c>
      <c r="K122" s="346">
        <f t="shared" si="19"/>
        <v>0</v>
      </c>
      <c r="L122" s="346">
        <f>I122</f>
        <v>9.4</v>
      </c>
      <c r="M122" s="346">
        <f t="shared" si="20"/>
        <v>0</v>
      </c>
      <c r="N122" s="182">
        <f t="shared" si="21"/>
        <v>-100</v>
      </c>
      <c r="O122" s="181">
        <f t="shared" si="27"/>
        <v>2.3565694904710663</v>
      </c>
      <c r="P122" s="181">
        <f t="shared" si="27"/>
        <v>0</v>
      </c>
      <c r="Q122" s="270">
        <f>F122</f>
        <v>0</v>
      </c>
      <c r="R122" s="265">
        <f t="shared" si="24"/>
        <v>-100</v>
      </c>
      <c r="S122" s="270">
        <f>F122</f>
        <v>0</v>
      </c>
      <c r="T122" s="264">
        <f t="shared" si="18"/>
        <v>-100</v>
      </c>
      <c r="U122" s="264">
        <f t="shared" si="25"/>
        <v>-100</v>
      </c>
      <c r="V122" s="265">
        <f t="shared" si="23"/>
        <v>0</v>
      </c>
      <c r="W122" s="396" t="s">
        <v>227</v>
      </c>
      <c r="X122" s="50"/>
    </row>
    <row r="123" spans="1:24" s="33" customFormat="1" ht="12" customHeight="1">
      <c r="A123" s="174">
        <v>17</v>
      </c>
      <c r="B123" s="167" t="s">
        <v>96</v>
      </c>
      <c r="C123" s="168" t="s">
        <v>77</v>
      </c>
      <c r="D123" s="181">
        <f>D124+D125+D126</f>
        <v>0</v>
      </c>
      <c r="E123" s="181">
        <f aca="true" t="shared" si="28" ref="E123:L123">E124+E125+E126</f>
        <v>0</v>
      </c>
      <c r="F123" s="181">
        <f t="shared" si="28"/>
        <v>0</v>
      </c>
      <c r="G123" s="181">
        <f t="shared" si="28"/>
        <v>0</v>
      </c>
      <c r="H123" s="266">
        <f>H124+H125+H126</f>
        <v>16.8</v>
      </c>
      <c r="I123" s="181">
        <f t="shared" si="28"/>
        <v>10</v>
      </c>
      <c r="J123" s="266">
        <f>J124+J125+J126</f>
        <v>16.8</v>
      </c>
      <c r="K123" s="346">
        <f t="shared" si="19"/>
        <v>0</v>
      </c>
      <c r="L123" s="346">
        <f t="shared" si="28"/>
        <v>10.489999999999998</v>
      </c>
      <c r="M123" s="346">
        <f t="shared" si="20"/>
        <v>4.8999999999999915</v>
      </c>
      <c r="N123" s="182">
        <f t="shared" si="21"/>
        <v>-51.000000000000085</v>
      </c>
      <c r="O123" s="181">
        <f t="shared" si="27"/>
        <v>2.6298312718129235</v>
      </c>
      <c r="P123" s="181">
        <f t="shared" si="27"/>
        <v>1.2284245216285323</v>
      </c>
      <c r="Q123" s="183">
        <f>Q126+Q125+Q124</f>
        <v>0</v>
      </c>
      <c r="R123" s="184">
        <f t="shared" si="24"/>
        <v>-100</v>
      </c>
      <c r="S123" s="183">
        <f>S126+S125+S124</f>
        <v>0</v>
      </c>
      <c r="T123" s="171">
        <f t="shared" si="18"/>
        <v>-100</v>
      </c>
      <c r="U123" s="171">
        <f t="shared" si="25"/>
        <v>-100</v>
      </c>
      <c r="V123" s="172">
        <f t="shared" si="23"/>
        <v>0</v>
      </c>
      <c r="W123" s="175"/>
      <c r="X123" s="50"/>
    </row>
    <row r="124" spans="1:24" ht="12" customHeight="1">
      <c r="A124" s="12" t="s">
        <v>31</v>
      </c>
      <c r="B124" s="13" t="s">
        <v>97</v>
      </c>
      <c r="C124" s="40" t="s">
        <v>77</v>
      </c>
      <c r="D124" s="141"/>
      <c r="E124" s="229"/>
      <c r="F124" s="141"/>
      <c r="G124" s="229"/>
      <c r="H124" s="230">
        <v>14.4</v>
      </c>
      <c r="I124" s="220"/>
      <c r="J124" s="230">
        <v>14.4</v>
      </c>
      <c r="K124" s="214">
        <f t="shared" si="19"/>
        <v>0</v>
      </c>
      <c r="L124" s="141"/>
      <c r="M124" s="214"/>
      <c r="N124" s="223">
        <f t="shared" si="21"/>
        <v>-100</v>
      </c>
      <c r="O124" s="223"/>
      <c r="P124" s="223"/>
      <c r="Q124" s="271">
        <f>F124</f>
        <v>0</v>
      </c>
      <c r="R124" s="272">
        <f t="shared" si="24"/>
        <v>-100</v>
      </c>
      <c r="S124" s="257">
        <f>F124*1.03</f>
        <v>0</v>
      </c>
      <c r="T124" s="256">
        <f t="shared" si="18"/>
        <v>-100</v>
      </c>
      <c r="U124" s="256">
        <f t="shared" si="25"/>
        <v>-100</v>
      </c>
      <c r="V124" s="250">
        <f t="shared" si="23"/>
        <v>0</v>
      </c>
      <c r="W124" s="267"/>
      <c r="X124" s="49"/>
    </row>
    <row r="125" spans="1:24" ht="12" customHeight="1">
      <c r="A125" s="12" t="s">
        <v>31</v>
      </c>
      <c r="B125" s="13" t="s">
        <v>98</v>
      </c>
      <c r="C125" s="40" t="s">
        <v>77</v>
      </c>
      <c r="D125" s="141"/>
      <c r="E125" s="229"/>
      <c r="F125" s="141"/>
      <c r="G125" s="229"/>
      <c r="H125" s="230">
        <v>0</v>
      </c>
      <c r="I125" s="220">
        <v>10</v>
      </c>
      <c r="J125" s="230">
        <v>0</v>
      </c>
      <c r="K125" s="214"/>
      <c r="L125" s="141">
        <f>I125*1.049</f>
        <v>10.489999999999998</v>
      </c>
      <c r="M125" s="214">
        <f t="shared" si="20"/>
        <v>4.8999999999999915</v>
      </c>
      <c r="N125" s="223">
        <f t="shared" si="21"/>
        <v>-51.000000000000085</v>
      </c>
      <c r="O125" s="223"/>
      <c r="P125" s="223"/>
      <c r="Q125" s="271">
        <f>F125</f>
        <v>0</v>
      </c>
      <c r="R125" s="272">
        <f t="shared" si="24"/>
        <v>-100</v>
      </c>
      <c r="S125" s="257">
        <f>F125*1.03</f>
        <v>0</v>
      </c>
      <c r="T125" s="256">
        <f t="shared" si="18"/>
        <v>-100</v>
      </c>
      <c r="U125" s="256">
        <f t="shared" si="25"/>
        <v>-100</v>
      </c>
      <c r="V125" s="250">
        <f t="shared" si="23"/>
        <v>0</v>
      </c>
      <c r="W125" s="267"/>
      <c r="X125" s="49"/>
    </row>
    <row r="126" spans="1:24" ht="12" customHeight="1">
      <c r="A126" s="12" t="s">
        <v>31</v>
      </c>
      <c r="B126" s="13" t="s">
        <v>99</v>
      </c>
      <c r="C126" s="40" t="s">
        <v>77</v>
      </c>
      <c r="D126" s="141"/>
      <c r="E126" s="229"/>
      <c r="F126" s="141"/>
      <c r="G126" s="229"/>
      <c r="H126" s="230">
        <v>2.4</v>
      </c>
      <c r="I126" s="220"/>
      <c r="J126" s="230">
        <v>2.4</v>
      </c>
      <c r="K126" s="214">
        <f t="shared" si="19"/>
        <v>0</v>
      </c>
      <c r="L126" s="141"/>
      <c r="M126" s="214"/>
      <c r="N126" s="223">
        <f t="shared" si="21"/>
        <v>-100</v>
      </c>
      <c r="O126" s="223"/>
      <c r="P126" s="223"/>
      <c r="Q126" s="271">
        <f>F126</f>
        <v>0</v>
      </c>
      <c r="R126" s="272"/>
      <c r="S126" s="257">
        <f>F126*1.03</f>
        <v>0</v>
      </c>
      <c r="T126" s="256">
        <f t="shared" si="18"/>
        <v>-100</v>
      </c>
      <c r="U126" s="256">
        <f t="shared" si="25"/>
        <v>-100</v>
      </c>
      <c r="V126" s="250"/>
      <c r="W126" s="267"/>
      <c r="X126" s="49"/>
    </row>
    <row r="127" spans="1:24" s="33" customFormat="1" ht="12" customHeight="1">
      <c r="A127" s="174">
        <v>18</v>
      </c>
      <c r="B127" s="167" t="s">
        <v>100</v>
      </c>
      <c r="C127" s="168" t="s">
        <v>77</v>
      </c>
      <c r="D127" s="181">
        <f aca="true" t="shared" si="29" ref="D127:J127">D128+D131+D132</f>
        <v>0</v>
      </c>
      <c r="E127" s="181">
        <f t="shared" si="29"/>
        <v>0</v>
      </c>
      <c r="F127" s="181">
        <f t="shared" si="29"/>
        <v>0</v>
      </c>
      <c r="G127" s="181">
        <f t="shared" si="29"/>
        <v>0</v>
      </c>
      <c r="H127" s="266">
        <f t="shared" si="29"/>
        <v>132.8</v>
      </c>
      <c r="I127" s="266">
        <f t="shared" si="29"/>
        <v>136.7974</v>
      </c>
      <c r="J127" s="266">
        <f t="shared" si="29"/>
        <v>142.0258674</v>
      </c>
      <c r="K127" s="346">
        <f t="shared" si="19"/>
        <v>6.947189307228911</v>
      </c>
      <c r="L127" s="394">
        <f>L128+L131+L132</f>
        <v>142.1728674</v>
      </c>
      <c r="M127" s="346">
        <f t="shared" si="20"/>
        <v>3.929509917586131</v>
      </c>
      <c r="N127" s="346">
        <f t="shared" si="21"/>
        <v>-97.12749663547251</v>
      </c>
      <c r="O127" s="181">
        <f>L127/($L$163+1E-103)*100</f>
        <v>35.6425789029392</v>
      </c>
      <c r="P127" s="181">
        <f>M127/($L$163+1E-103)*100</f>
        <v>0.98512374300925</v>
      </c>
      <c r="Q127" s="180">
        <f>P128+P131+P132</f>
        <v>0</v>
      </c>
      <c r="R127" s="172">
        <f>Q127/(F127+1E-106)*100-100</f>
        <v>-100</v>
      </c>
      <c r="S127" s="180">
        <f>R128+R131+R132</f>
        <v>0</v>
      </c>
      <c r="T127" s="171">
        <f t="shared" si="18"/>
        <v>-100</v>
      </c>
      <c r="U127" s="171">
        <f t="shared" si="25"/>
        <v>-100</v>
      </c>
      <c r="V127" s="172">
        <f aca="true" t="shared" si="30" ref="U127:V156">S127-K127</f>
        <v>-6.947189307228911</v>
      </c>
      <c r="W127" s="175"/>
      <c r="X127" s="50"/>
    </row>
    <row r="128" spans="1:23" ht="12" customHeight="1">
      <c r="A128" s="12" t="s">
        <v>31</v>
      </c>
      <c r="B128" s="13" t="s">
        <v>101</v>
      </c>
      <c r="C128" s="40" t="s">
        <v>77</v>
      </c>
      <c r="D128" s="141"/>
      <c r="E128" s="229"/>
      <c r="F128" s="141"/>
      <c r="G128" s="229"/>
      <c r="H128" s="229">
        <v>99.7</v>
      </c>
      <c r="I128" s="322">
        <f>H128</f>
        <v>99.7</v>
      </c>
      <c r="J128" s="229">
        <f>L128</f>
        <v>106.7787</v>
      </c>
      <c r="K128" s="214">
        <f t="shared" si="19"/>
        <v>7.099999999999994</v>
      </c>
      <c r="L128" s="141">
        <f>I128*1.071</f>
        <v>106.7787</v>
      </c>
      <c r="M128" s="214">
        <f t="shared" si="20"/>
        <v>7.099999999999994</v>
      </c>
      <c r="N128" s="223">
        <f aca="true" t="shared" si="31" ref="N128:N133">L128-J128</f>
        <v>0</v>
      </c>
      <c r="O128" s="223"/>
      <c r="P128" s="249">
        <f>F128</f>
        <v>0</v>
      </c>
      <c r="Q128" s="250">
        <f aca="true" t="shared" si="32" ref="Q128:Q156">P128/(F128+1E-106)*100-100</f>
        <v>-100</v>
      </c>
      <c r="R128" s="273">
        <f>P128*1.051</f>
        <v>0</v>
      </c>
      <c r="S128" s="256">
        <f aca="true" t="shared" si="33" ref="S128:S156">R128/(P128+1E-106)*100-100</f>
        <v>-100</v>
      </c>
      <c r="T128" s="256">
        <f aca="true" t="shared" si="34" ref="T128:T156">R128/(F128+1E-106)*100-100</f>
        <v>-100</v>
      </c>
      <c r="U128" s="250">
        <f t="shared" si="30"/>
        <v>-106.7787</v>
      </c>
      <c r="V128" s="267" t="e">
        <f>R128/($R$163+1E-103)*100</f>
        <v>#REF!</v>
      </c>
      <c r="W128" s="46"/>
    </row>
    <row r="129" spans="1:23" ht="12" customHeight="1">
      <c r="A129" s="12"/>
      <c r="B129" s="13" t="s">
        <v>102</v>
      </c>
      <c r="C129" s="131" t="s">
        <v>92</v>
      </c>
      <c r="D129" s="219">
        <f aca="true" t="shared" si="35" ref="D129:J129">D128/12/(D130+1E-100)*1000</f>
        <v>0</v>
      </c>
      <c r="E129" s="214">
        <f t="shared" si="35"/>
        <v>0</v>
      </c>
      <c r="F129" s="219">
        <f t="shared" si="35"/>
        <v>0</v>
      </c>
      <c r="G129" s="214">
        <f>G128/3/(G130+1E-100)*1000</f>
        <v>0</v>
      </c>
      <c r="H129" s="214">
        <f>H128/12/(H130+1E-100)*1000</f>
        <v>8308.333333333334</v>
      </c>
      <c r="I129" s="337">
        <f>I128/12/(I130+1E-100)*1000</f>
        <v>8308.333333333334</v>
      </c>
      <c r="J129" s="214">
        <f t="shared" si="35"/>
        <v>8898.225</v>
      </c>
      <c r="K129" s="214">
        <f t="shared" si="19"/>
        <v>7.099999999999994</v>
      </c>
      <c r="L129" s="219">
        <f>L128/12/(L130+1E-100)*1000</f>
        <v>8898.225</v>
      </c>
      <c r="M129" s="214">
        <f t="shared" si="20"/>
        <v>7.099999999999994</v>
      </c>
      <c r="N129" s="223">
        <f t="shared" si="31"/>
        <v>0</v>
      </c>
      <c r="O129" s="223"/>
      <c r="P129" s="26">
        <f>F129</f>
        <v>0</v>
      </c>
      <c r="Q129" s="16">
        <f t="shared" si="32"/>
        <v>-100</v>
      </c>
      <c r="R129" s="26">
        <f>R128/12/(R130+1E-100)*1000</f>
        <v>0</v>
      </c>
      <c r="S129" s="17">
        <f t="shared" si="33"/>
        <v>-100</v>
      </c>
      <c r="T129" s="17">
        <f t="shared" si="34"/>
        <v>-100</v>
      </c>
      <c r="U129" s="16">
        <f t="shared" si="30"/>
        <v>-8898.225</v>
      </c>
      <c r="V129" s="36"/>
      <c r="W129" s="46"/>
    </row>
    <row r="130" spans="1:23" ht="12" customHeight="1">
      <c r="A130" s="12"/>
      <c r="B130" s="13" t="s">
        <v>93</v>
      </c>
      <c r="C130" s="131" t="s">
        <v>94</v>
      </c>
      <c r="D130" s="141"/>
      <c r="E130" s="229"/>
      <c r="F130" s="141"/>
      <c r="G130" s="229"/>
      <c r="H130" s="229">
        <v>1</v>
      </c>
      <c r="I130" s="322">
        <v>1</v>
      </c>
      <c r="J130" s="229">
        <v>1</v>
      </c>
      <c r="K130" s="214">
        <f t="shared" si="19"/>
        <v>0</v>
      </c>
      <c r="L130" s="141">
        <f>I130</f>
        <v>1</v>
      </c>
      <c r="M130" s="214">
        <f t="shared" si="20"/>
        <v>0</v>
      </c>
      <c r="N130" s="223">
        <f t="shared" si="31"/>
        <v>0</v>
      </c>
      <c r="O130" s="223"/>
      <c r="P130" s="249">
        <f>F130</f>
        <v>0</v>
      </c>
      <c r="Q130" s="250">
        <f t="shared" si="32"/>
        <v>-100</v>
      </c>
      <c r="R130" s="249">
        <f>F130</f>
        <v>0</v>
      </c>
      <c r="S130" s="256">
        <f t="shared" si="33"/>
        <v>-100</v>
      </c>
      <c r="T130" s="256">
        <f t="shared" si="34"/>
        <v>-100</v>
      </c>
      <c r="U130" s="250">
        <f t="shared" si="30"/>
        <v>-1</v>
      </c>
      <c r="V130" s="267" t="e">
        <f>R130/($R$163+1E-103)*100</f>
        <v>#REF!</v>
      </c>
      <c r="W130" s="46"/>
    </row>
    <row r="131" spans="1:23" ht="12" customHeight="1">
      <c r="A131" s="12" t="s">
        <v>31</v>
      </c>
      <c r="B131" s="4" t="s">
        <v>171</v>
      </c>
      <c r="C131" s="40" t="s">
        <v>77</v>
      </c>
      <c r="D131" s="141"/>
      <c r="E131" s="229"/>
      <c r="F131" s="141"/>
      <c r="G131" s="229"/>
      <c r="H131" s="229">
        <v>30.1</v>
      </c>
      <c r="I131" s="322">
        <f>I128*0.342</f>
        <v>34.0974</v>
      </c>
      <c r="J131" s="229">
        <f>L131</f>
        <v>32.2471674</v>
      </c>
      <c r="K131" s="214">
        <f t="shared" si="19"/>
        <v>7.133446511627909</v>
      </c>
      <c r="L131" s="141">
        <f>L128*0.302</f>
        <v>32.2471674</v>
      </c>
      <c r="M131" s="214">
        <f t="shared" si="20"/>
        <v>-5.426315789473676</v>
      </c>
      <c r="N131" s="223">
        <f t="shared" si="31"/>
        <v>0</v>
      </c>
      <c r="O131" s="223"/>
      <c r="P131" s="249">
        <f>F131</f>
        <v>0</v>
      </c>
      <c r="Q131" s="250">
        <f t="shared" si="32"/>
        <v>-100</v>
      </c>
      <c r="R131" s="23">
        <f>R128*0.342</f>
        <v>0</v>
      </c>
      <c r="S131" s="256">
        <f t="shared" si="33"/>
        <v>-100</v>
      </c>
      <c r="T131" s="256">
        <f t="shared" si="34"/>
        <v>-100</v>
      </c>
      <c r="U131" s="250">
        <f t="shared" si="30"/>
        <v>-32.2471674</v>
      </c>
      <c r="V131" s="267" t="e">
        <f>R131/($R$163+1E-103)*100</f>
        <v>#REF!</v>
      </c>
      <c r="W131" s="46"/>
    </row>
    <row r="132" spans="1:23" ht="12" customHeight="1">
      <c r="A132" s="12" t="s">
        <v>31</v>
      </c>
      <c r="B132" s="13" t="s">
        <v>103</v>
      </c>
      <c r="C132" s="40" t="s">
        <v>77</v>
      </c>
      <c r="D132" s="141"/>
      <c r="E132" s="229"/>
      <c r="F132" s="141"/>
      <c r="G132" s="229"/>
      <c r="H132" s="229">
        <v>3</v>
      </c>
      <c r="I132" s="322">
        <v>3</v>
      </c>
      <c r="J132" s="229">
        <v>3</v>
      </c>
      <c r="K132" s="214">
        <f t="shared" si="19"/>
        <v>0</v>
      </c>
      <c r="L132" s="141">
        <f>I132*1.049</f>
        <v>3.147</v>
      </c>
      <c r="M132" s="214">
        <f t="shared" si="20"/>
        <v>4.8999999999999915</v>
      </c>
      <c r="N132" s="223">
        <f t="shared" si="31"/>
        <v>0.1469999999999998</v>
      </c>
      <c r="O132" s="223"/>
      <c r="P132" s="249">
        <f>F132</f>
        <v>0</v>
      </c>
      <c r="Q132" s="250">
        <f t="shared" si="32"/>
        <v>-100</v>
      </c>
      <c r="R132" s="249">
        <f>F132*1.03</f>
        <v>0</v>
      </c>
      <c r="S132" s="256">
        <f t="shared" si="33"/>
        <v>-100</v>
      </c>
      <c r="T132" s="256">
        <f t="shared" si="34"/>
        <v>-100</v>
      </c>
      <c r="U132" s="250">
        <f t="shared" si="30"/>
        <v>-3</v>
      </c>
      <c r="V132" s="267" t="e">
        <f>R132/($R$163+1E-103)*100</f>
        <v>#REF!</v>
      </c>
      <c r="W132" s="46"/>
    </row>
    <row r="133" spans="1:23" s="33" customFormat="1" ht="12" customHeight="1">
      <c r="A133" s="174">
        <v>19</v>
      </c>
      <c r="B133" s="185" t="s">
        <v>104</v>
      </c>
      <c r="C133" s="168" t="s">
        <v>77</v>
      </c>
      <c r="D133" s="181">
        <f aca="true" t="shared" si="36" ref="D133:J133">D134+D137+D138</f>
        <v>0</v>
      </c>
      <c r="E133" s="181">
        <f t="shared" si="36"/>
        <v>0</v>
      </c>
      <c r="F133" s="181">
        <f t="shared" si="36"/>
        <v>0</v>
      </c>
      <c r="G133" s="181">
        <f t="shared" si="36"/>
        <v>0</v>
      </c>
      <c r="H133" s="181">
        <f t="shared" si="36"/>
        <v>8</v>
      </c>
      <c r="I133" s="181">
        <f t="shared" si="36"/>
        <v>5</v>
      </c>
      <c r="J133" s="181">
        <f t="shared" si="36"/>
        <v>8</v>
      </c>
      <c r="K133" s="346">
        <f t="shared" si="19"/>
        <v>0</v>
      </c>
      <c r="L133" s="346">
        <f>L134+L137+L138</f>
        <v>5.244999999999999</v>
      </c>
      <c r="M133" s="346">
        <f t="shared" si="20"/>
        <v>4.8999999999999915</v>
      </c>
      <c r="N133" s="181">
        <f t="shared" si="31"/>
        <v>-2.755000000000001</v>
      </c>
      <c r="O133" s="181">
        <f>L133/($L$163+1E-103)*100</f>
        <v>1.3149156359064618</v>
      </c>
      <c r="P133" s="180">
        <f>P134+P137+P138</f>
        <v>0</v>
      </c>
      <c r="Q133" s="172">
        <f t="shared" si="32"/>
        <v>-100</v>
      </c>
      <c r="R133" s="180">
        <f>R134+R137+R138</f>
        <v>0</v>
      </c>
      <c r="S133" s="171">
        <f t="shared" si="33"/>
        <v>-100</v>
      </c>
      <c r="T133" s="171">
        <f t="shared" si="34"/>
        <v>-100</v>
      </c>
      <c r="U133" s="172">
        <f t="shared" si="30"/>
        <v>-8</v>
      </c>
      <c r="V133" s="175" t="e">
        <f>R133/($R$163+1E-103)*100</f>
        <v>#REF!</v>
      </c>
      <c r="W133" s="179"/>
    </row>
    <row r="134" spans="1:23" ht="12" customHeight="1" hidden="1">
      <c r="A134" s="12" t="s">
        <v>31</v>
      </c>
      <c r="B134" s="13" t="s">
        <v>101</v>
      </c>
      <c r="C134" s="40" t="s">
        <v>77</v>
      </c>
      <c r="D134" s="141"/>
      <c r="E134" s="229"/>
      <c r="F134" s="141"/>
      <c r="G134" s="229"/>
      <c r="H134" s="229"/>
      <c r="I134" s="322"/>
      <c r="J134" s="229"/>
      <c r="K134" s="214"/>
      <c r="L134" s="141"/>
      <c r="M134" s="214"/>
      <c r="N134" s="223"/>
      <c r="O134" s="223"/>
      <c r="P134" s="257">
        <f>F134</f>
        <v>0</v>
      </c>
      <c r="Q134" s="250">
        <f t="shared" si="32"/>
        <v>-100</v>
      </c>
      <c r="R134" s="273">
        <f>P134*1.051</f>
        <v>0</v>
      </c>
      <c r="S134" s="256">
        <f t="shared" si="33"/>
        <v>-100</v>
      </c>
      <c r="T134" s="256">
        <f t="shared" si="34"/>
        <v>-100</v>
      </c>
      <c r="U134" s="250">
        <f t="shared" si="30"/>
        <v>0</v>
      </c>
      <c r="V134" s="267" t="e">
        <f>R134/($R$163+1E-103)*100</f>
        <v>#REF!</v>
      </c>
      <c r="W134" s="46"/>
    </row>
    <row r="135" spans="1:23" ht="12" customHeight="1" hidden="1">
      <c r="A135" s="12"/>
      <c r="B135" s="13" t="s">
        <v>102</v>
      </c>
      <c r="C135" s="131" t="s">
        <v>92</v>
      </c>
      <c r="D135" s="219">
        <f>D134/12/(D136+1E-100)*1000</f>
        <v>0</v>
      </c>
      <c r="E135" s="214">
        <f>E134/12/(E136+1E-100)*1000</f>
        <v>0</v>
      </c>
      <c r="F135" s="219">
        <f>F134/12/(F136+1E-100)*1000</f>
        <v>0</v>
      </c>
      <c r="G135" s="214">
        <f>G134/3/(G136+1E-100)*1000</f>
        <v>0</v>
      </c>
      <c r="H135" s="214"/>
      <c r="I135" s="337"/>
      <c r="J135" s="214"/>
      <c r="K135" s="214"/>
      <c r="L135" s="219"/>
      <c r="M135" s="214"/>
      <c r="N135" s="223"/>
      <c r="O135" s="223"/>
      <c r="P135" s="38">
        <f>F135</f>
        <v>0</v>
      </c>
      <c r="Q135" s="16">
        <f t="shared" si="32"/>
        <v>-100</v>
      </c>
      <c r="R135" s="26">
        <f>R134/12/(R136+1E-100)*1000</f>
        <v>0</v>
      </c>
      <c r="S135" s="17">
        <f t="shared" si="33"/>
        <v>-100</v>
      </c>
      <c r="T135" s="17">
        <f t="shared" si="34"/>
        <v>-100</v>
      </c>
      <c r="U135" s="16">
        <f t="shared" si="30"/>
        <v>0</v>
      </c>
      <c r="V135" s="36"/>
      <c r="W135" s="46"/>
    </row>
    <row r="136" spans="1:23" ht="12" customHeight="1" hidden="1">
      <c r="A136" s="12"/>
      <c r="B136" s="13" t="s">
        <v>93</v>
      </c>
      <c r="C136" s="131" t="s">
        <v>94</v>
      </c>
      <c r="D136" s="141"/>
      <c r="E136" s="229"/>
      <c r="F136" s="141"/>
      <c r="G136" s="229"/>
      <c r="H136" s="229"/>
      <c r="I136" s="322"/>
      <c r="J136" s="229"/>
      <c r="K136" s="214"/>
      <c r="L136" s="141"/>
      <c r="M136" s="214"/>
      <c r="N136" s="223"/>
      <c r="O136" s="223"/>
      <c r="P136" s="257">
        <f>F136</f>
        <v>0</v>
      </c>
      <c r="Q136" s="250">
        <f t="shared" si="32"/>
        <v>-100</v>
      </c>
      <c r="R136" s="249">
        <f>F136</f>
        <v>0</v>
      </c>
      <c r="S136" s="256">
        <f t="shared" si="33"/>
        <v>-100</v>
      </c>
      <c r="T136" s="256">
        <f t="shared" si="34"/>
        <v>-100</v>
      </c>
      <c r="U136" s="250">
        <f t="shared" si="30"/>
        <v>0</v>
      </c>
      <c r="V136" s="267" t="e">
        <f aca="true" t="shared" si="37" ref="V136:V156">R136/($R$163+1E-103)*100</f>
        <v>#REF!</v>
      </c>
      <c r="W136" s="46"/>
    </row>
    <row r="137" spans="1:23" ht="12" customHeight="1" hidden="1">
      <c r="A137" s="12" t="s">
        <v>31</v>
      </c>
      <c r="B137" s="4" t="s">
        <v>171</v>
      </c>
      <c r="C137" s="40" t="s">
        <v>77</v>
      </c>
      <c r="D137" s="141"/>
      <c r="E137" s="229"/>
      <c r="F137" s="141"/>
      <c r="G137" s="229"/>
      <c r="H137" s="229"/>
      <c r="I137" s="322"/>
      <c r="J137" s="229"/>
      <c r="K137" s="214"/>
      <c r="L137" s="141"/>
      <c r="M137" s="214"/>
      <c r="N137" s="223"/>
      <c r="O137" s="223"/>
      <c r="P137" s="257">
        <f>F137</f>
        <v>0</v>
      </c>
      <c r="Q137" s="250">
        <f t="shared" si="32"/>
        <v>-100</v>
      </c>
      <c r="R137" s="23">
        <f>R134*0.342</f>
        <v>0</v>
      </c>
      <c r="S137" s="256">
        <f t="shared" si="33"/>
        <v>-100</v>
      </c>
      <c r="T137" s="256">
        <f t="shared" si="34"/>
        <v>-100</v>
      </c>
      <c r="U137" s="250">
        <f t="shared" si="30"/>
        <v>0</v>
      </c>
      <c r="V137" s="267" t="e">
        <f t="shared" si="37"/>
        <v>#REF!</v>
      </c>
      <c r="W137" s="46"/>
    </row>
    <row r="138" spans="1:23" ht="12" customHeight="1">
      <c r="A138" s="12" t="s">
        <v>31</v>
      </c>
      <c r="B138" s="13" t="s">
        <v>103</v>
      </c>
      <c r="C138" s="40" t="s">
        <v>77</v>
      </c>
      <c r="D138" s="141"/>
      <c r="E138" s="229"/>
      <c r="F138" s="141"/>
      <c r="G138" s="229"/>
      <c r="H138" s="229">
        <v>8</v>
      </c>
      <c r="I138" s="322">
        <v>5</v>
      </c>
      <c r="J138" s="229">
        <v>8</v>
      </c>
      <c r="K138" s="214">
        <f>J138/H138*100-100</f>
        <v>0</v>
      </c>
      <c r="L138" s="141">
        <f>I138*1.049</f>
        <v>5.244999999999999</v>
      </c>
      <c r="M138" s="214">
        <f>L138/I138*100-100</f>
        <v>4.8999999999999915</v>
      </c>
      <c r="N138" s="223">
        <f aca="true" t="shared" si="38" ref="N138:N155">L138-J138</f>
        <v>-2.755000000000001</v>
      </c>
      <c r="O138" s="223"/>
      <c r="P138" s="257">
        <f>F138</f>
        <v>0</v>
      </c>
      <c r="Q138" s="250">
        <f t="shared" si="32"/>
        <v>-100</v>
      </c>
      <c r="R138" s="249">
        <f>F138*1.03</f>
        <v>0</v>
      </c>
      <c r="S138" s="256">
        <f t="shared" si="33"/>
        <v>-100</v>
      </c>
      <c r="T138" s="256">
        <f t="shared" si="34"/>
        <v>-100</v>
      </c>
      <c r="U138" s="250">
        <f t="shared" si="30"/>
        <v>-8</v>
      </c>
      <c r="V138" s="267" t="e">
        <f t="shared" si="37"/>
        <v>#REF!</v>
      </c>
      <c r="W138" s="46"/>
    </row>
    <row r="139" spans="1:23" s="33" customFormat="1" ht="12" customHeight="1">
      <c r="A139" s="174">
        <v>20</v>
      </c>
      <c r="B139" s="167" t="s">
        <v>105</v>
      </c>
      <c r="C139" s="168" t="s">
        <v>77</v>
      </c>
      <c r="D139" s="181">
        <f>D140+D141+D142+D143</f>
        <v>0</v>
      </c>
      <c r="E139" s="181">
        <f aca="true" t="shared" si="39" ref="E139:L139">E140+E141+E142+E143</f>
        <v>0</v>
      </c>
      <c r="F139" s="181">
        <f t="shared" si="39"/>
        <v>0</v>
      </c>
      <c r="G139" s="181">
        <f t="shared" si="39"/>
        <v>0</v>
      </c>
      <c r="H139" s="181">
        <f>H140+H141+H142+H143</f>
        <v>5.8</v>
      </c>
      <c r="I139" s="181">
        <f>I140+I141+I142+I143</f>
        <v>5.8</v>
      </c>
      <c r="J139" s="181">
        <f t="shared" si="39"/>
        <v>5.8</v>
      </c>
      <c r="K139" s="346">
        <f>J139/H139*100-100</f>
        <v>0</v>
      </c>
      <c r="L139" s="346">
        <f t="shared" si="39"/>
        <v>5.888199999999999</v>
      </c>
      <c r="M139" s="346">
        <f>L139/I139*100-100</f>
        <v>1.5206896551724043</v>
      </c>
      <c r="N139" s="181">
        <f t="shared" si="38"/>
        <v>0.08819999999999961</v>
      </c>
      <c r="O139" s="181">
        <f>L139/($L$163+1E-103)*100</f>
        <v>1.4761651567863543</v>
      </c>
      <c r="P139" s="183">
        <f>P140+P141+P142+P143</f>
        <v>0</v>
      </c>
      <c r="Q139" s="172">
        <f t="shared" si="32"/>
        <v>-100</v>
      </c>
      <c r="R139" s="180">
        <f>R140+R141+R142+R143</f>
        <v>0</v>
      </c>
      <c r="S139" s="171">
        <f t="shared" si="33"/>
        <v>-100</v>
      </c>
      <c r="T139" s="171">
        <f t="shared" si="34"/>
        <v>-100</v>
      </c>
      <c r="U139" s="172">
        <f t="shared" si="30"/>
        <v>-5.8</v>
      </c>
      <c r="V139" s="175" t="e">
        <f t="shared" si="37"/>
        <v>#REF!</v>
      </c>
      <c r="W139" s="179"/>
    </row>
    <row r="140" spans="1:23" ht="25.5">
      <c r="A140" s="12" t="s">
        <v>31</v>
      </c>
      <c r="B140" s="13" t="s">
        <v>106</v>
      </c>
      <c r="C140" s="40" t="s">
        <v>77</v>
      </c>
      <c r="D140" s="141"/>
      <c r="E140" s="229"/>
      <c r="F140" s="141"/>
      <c r="G140" s="229"/>
      <c r="H140" s="229">
        <v>4</v>
      </c>
      <c r="I140" s="322">
        <v>4</v>
      </c>
      <c r="J140" s="229">
        <v>4</v>
      </c>
      <c r="K140" s="214">
        <f>J140/H140*100-100</f>
        <v>0</v>
      </c>
      <c r="L140" s="141">
        <f>I140</f>
        <v>4</v>
      </c>
      <c r="M140" s="214">
        <f>L140/I140*100-100</f>
        <v>0</v>
      </c>
      <c r="N140" s="223">
        <f t="shared" si="38"/>
        <v>0</v>
      </c>
      <c r="O140" s="223"/>
      <c r="P140" s="249">
        <f>F140</f>
        <v>0</v>
      </c>
      <c r="Q140" s="250">
        <f t="shared" si="32"/>
        <v>-100</v>
      </c>
      <c r="R140" s="249">
        <f>F140*1.03</f>
        <v>0</v>
      </c>
      <c r="S140" s="256">
        <f t="shared" si="33"/>
        <v>-100</v>
      </c>
      <c r="T140" s="256">
        <f t="shared" si="34"/>
        <v>-100</v>
      </c>
      <c r="U140" s="250">
        <f t="shared" si="30"/>
        <v>-4</v>
      </c>
      <c r="V140" s="267" t="e">
        <f t="shared" si="37"/>
        <v>#REF!</v>
      </c>
      <c r="W140" s="30"/>
    </row>
    <row r="141" spans="1:23" ht="12.75">
      <c r="A141" s="12" t="s">
        <v>31</v>
      </c>
      <c r="B141" s="13" t="s">
        <v>107</v>
      </c>
      <c r="C141" s="40" t="s">
        <v>77</v>
      </c>
      <c r="D141" s="141"/>
      <c r="E141" s="229"/>
      <c r="F141" s="141"/>
      <c r="G141" s="229"/>
      <c r="H141" s="229"/>
      <c r="I141" s="322"/>
      <c r="J141" s="229"/>
      <c r="K141" s="214"/>
      <c r="L141" s="141"/>
      <c r="M141" s="214"/>
      <c r="N141" s="223"/>
      <c r="O141" s="223"/>
      <c r="P141" s="249">
        <f>F141</f>
        <v>0</v>
      </c>
      <c r="Q141" s="250">
        <f t="shared" si="32"/>
        <v>-100</v>
      </c>
      <c r="R141" s="249">
        <f>F141*1.03</f>
        <v>0</v>
      </c>
      <c r="S141" s="256">
        <f t="shared" si="33"/>
        <v>-100</v>
      </c>
      <c r="T141" s="256">
        <f t="shared" si="34"/>
        <v>-100</v>
      </c>
      <c r="U141" s="250">
        <f t="shared" si="30"/>
        <v>0</v>
      </c>
      <c r="V141" s="267" t="e">
        <f t="shared" si="37"/>
        <v>#REF!</v>
      </c>
      <c r="W141" s="37"/>
    </row>
    <row r="142" spans="1:23" ht="12.75">
      <c r="A142" s="12" t="s">
        <v>31</v>
      </c>
      <c r="B142" s="13" t="s">
        <v>108</v>
      </c>
      <c r="C142" s="40" t="s">
        <v>77</v>
      </c>
      <c r="D142" s="141"/>
      <c r="E142" s="229"/>
      <c r="F142" s="141"/>
      <c r="G142" s="229"/>
      <c r="H142" s="229"/>
      <c r="I142" s="322"/>
      <c r="J142" s="229"/>
      <c r="K142" s="214"/>
      <c r="L142" s="141"/>
      <c r="M142" s="214"/>
      <c r="N142" s="223"/>
      <c r="O142" s="223"/>
      <c r="P142" s="249">
        <f>F142</f>
        <v>0</v>
      </c>
      <c r="Q142" s="250">
        <f t="shared" si="32"/>
        <v>-100</v>
      </c>
      <c r="R142" s="249">
        <f>F142*1.03</f>
        <v>0</v>
      </c>
      <c r="S142" s="256">
        <f t="shared" si="33"/>
        <v>-100</v>
      </c>
      <c r="T142" s="256">
        <f t="shared" si="34"/>
        <v>-100</v>
      </c>
      <c r="U142" s="250">
        <f t="shared" si="30"/>
        <v>0</v>
      </c>
      <c r="V142" s="267" t="e">
        <f t="shared" si="37"/>
        <v>#REF!</v>
      </c>
      <c r="W142" s="37"/>
    </row>
    <row r="143" spans="1:23" ht="12.75">
      <c r="A143" s="12" t="s">
        <v>31</v>
      </c>
      <c r="B143" s="13" t="s">
        <v>103</v>
      </c>
      <c r="C143" s="40" t="s">
        <v>77</v>
      </c>
      <c r="D143" s="141"/>
      <c r="E143" s="229"/>
      <c r="F143" s="141"/>
      <c r="G143" s="229"/>
      <c r="H143" s="229">
        <v>1.8</v>
      </c>
      <c r="I143" s="322">
        <v>1.8</v>
      </c>
      <c r="J143" s="229">
        <v>1.8</v>
      </c>
      <c r="K143" s="214">
        <f>J143/H143*100-100</f>
        <v>0</v>
      </c>
      <c r="L143" s="141">
        <f>I143*1.049</f>
        <v>1.8881999999999999</v>
      </c>
      <c r="M143" s="214">
        <f>L143/I143*100-100</f>
        <v>4.8999999999999915</v>
      </c>
      <c r="N143" s="223">
        <f t="shared" si="38"/>
        <v>0.08819999999999983</v>
      </c>
      <c r="O143" s="223"/>
      <c r="P143" s="249">
        <f>F143</f>
        <v>0</v>
      </c>
      <c r="Q143" s="250">
        <f t="shared" si="32"/>
        <v>-100</v>
      </c>
      <c r="R143" s="249">
        <f>F143*1.03</f>
        <v>0</v>
      </c>
      <c r="S143" s="256">
        <f t="shared" si="33"/>
        <v>-100</v>
      </c>
      <c r="T143" s="256">
        <f t="shared" si="34"/>
        <v>-100</v>
      </c>
      <c r="U143" s="250">
        <f t="shared" si="30"/>
        <v>-1.8</v>
      </c>
      <c r="V143" s="267" t="e">
        <f t="shared" si="37"/>
        <v>#REF!</v>
      </c>
      <c r="W143" s="37"/>
    </row>
    <row r="144" spans="1:23" s="33" customFormat="1" ht="25.5">
      <c r="A144" s="174">
        <v>21</v>
      </c>
      <c r="B144" s="167" t="s">
        <v>109</v>
      </c>
      <c r="C144" s="168" t="s">
        <v>77</v>
      </c>
      <c r="D144" s="181">
        <f>D145+D146</f>
        <v>0</v>
      </c>
      <c r="E144" s="181">
        <f aca="true" t="shared" si="40" ref="E144:L144">E145+E146</f>
        <v>0</v>
      </c>
      <c r="F144" s="181">
        <f t="shared" si="40"/>
        <v>0</v>
      </c>
      <c r="G144" s="181">
        <f t="shared" si="40"/>
        <v>0</v>
      </c>
      <c r="H144" s="181">
        <f>H145+H146</f>
        <v>0</v>
      </c>
      <c r="I144" s="181">
        <f>I145+I146</f>
        <v>0</v>
      </c>
      <c r="J144" s="181">
        <f t="shared" si="40"/>
        <v>0</v>
      </c>
      <c r="K144" s="346"/>
      <c r="L144" s="346">
        <f t="shared" si="40"/>
        <v>0</v>
      </c>
      <c r="M144" s="346"/>
      <c r="N144" s="181">
        <f t="shared" si="38"/>
        <v>0</v>
      </c>
      <c r="O144" s="181">
        <f>L144/($L$163+1E-103)*100</f>
        <v>0</v>
      </c>
      <c r="P144" s="180" t="e">
        <f>P145+P146+#REF!</f>
        <v>#REF!</v>
      </c>
      <c r="Q144" s="172" t="e">
        <f t="shared" si="32"/>
        <v>#REF!</v>
      </c>
      <c r="R144" s="180" t="e">
        <f>R145+R146+#REF!</f>
        <v>#REF!</v>
      </c>
      <c r="S144" s="171" t="e">
        <f t="shared" si="33"/>
        <v>#REF!</v>
      </c>
      <c r="T144" s="171" t="e">
        <f t="shared" si="34"/>
        <v>#REF!</v>
      </c>
      <c r="U144" s="172" t="e">
        <f t="shared" si="30"/>
        <v>#REF!</v>
      </c>
      <c r="V144" s="175" t="e">
        <f t="shared" si="37"/>
        <v>#REF!</v>
      </c>
      <c r="W144" s="179"/>
    </row>
    <row r="145" spans="1:23" ht="12.75">
      <c r="A145" s="12" t="s">
        <v>31</v>
      </c>
      <c r="B145" s="13" t="s">
        <v>110</v>
      </c>
      <c r="C145" s="40" t="s">
        <v>77</v>
      </c>
      <c r="D145" s="141"/>
      <c r="E145" s="229"/>
      <c r="F145" s="141"/>
      <c r="G145" s="229"/>
      <c r="H145" s="229"/>
      <c r="I145" s="322"/>
      <c r="J145" s="229"/>
      <c r="K145" s="214"/>
      <c r="L145" s="141"/>
      <c r="M145" s="214"/>
      <c r="N145" s="223"/>
      <c r="O145" s="214"/>
      <c r="P145" s="249">
        <f>F145</f>
        <v>0</v>
      </c>
      <c r="Q145" s="250">
        <f t="shared" si="32"/>
        <v>-100</v>
      </c>
      <c r="R145" s="249">
        <f>F145</f>
        <v>0</v>
      </c>
      <c r="S145" s="256">
        <f t="shared" si="33"/>
        <v>-100</v>
      </c>
      <c r="T145" s="256">
        <f t="shared" si="34"/>
        <v>-100</v>
      </c>
      <c r="U145" s="250">
        <f t="shared" si="30"/>
        <v>0</v>
      </c>
      <c r="V145" s="267" t="e">
        <f t="shared" si="37"/>
        <v>#REF!</v>
      </c>
      <c r="W145" s="30"/>
    </row>
    <row r="146" spans="1:23" ht="12.75">
      <c r="A146" s="12" t="s">
        <v>31</v>
      </c>
      <c r="B146" s="13" t="s">
        <v>111</v>
      </c>
      <c r="C146" s="40" t="s">
        <v>77</v>
      </c>
      <c r="D146" s="141"/>
      <c r="E146" s="229"/>
      <c r="F146" s="141"/>
      <c r="G146" s="229"/>
      <c r="H146" s="229"/>
      <c r="I146" s="322"/>
      <c r="J146" s="229"/>
      <c r="K146" s="214"/>
      <c r="L146" s="141"/>
      <c r="M146" s="214"/>
      <c r="N146" s="223"/>
      <c r="O146" s="214"/>
      <c r="P146" s="249">
        <f>F146</f>
        <v>0</v>
      </c>
      <c r="Q146" s="250">
        <f t="shared" si="32"/>
        <v>-100</v>
      </c>
      <c r="R146" s="249">
        <f>F146</f>
        <v>0</v>
      </c>
      <c r="S146" s="256">
        <f t="shared" si="33"/>
        <v>-100</v>
      </c>
      <c r="T146" s="256">
        <f t="shared" si="34"/>
        <v>-100</v>
      </c>
      <c r="U146" s="250">
        <f t="shared" si="30"/>
        <v>0</v>
      </c>
      <c r="V146" s="267" t="e">
        <f t="shared" si="37"/>
        <v>#REF!</v>
      </c>
      <c r="W146" s="30"/>
    </row>
    <row r="147" spans="1:23" ht="12.75" customHeight="1">
      <c r="A147" s="3">
        <v>22</v>
      </c>
      <c r="B147" s="13" t="s">
        <v>113</v>
      </c>
      <c r="C147" s="40" t="s">
        <v>77</v>
      </c>
      <c r="D147" s="141"/>
      <c r="E147" s="229"/>
      <c r="F147" s="141"/>
      <c r="G147" s="229"/>
      <c r="H147" s="229"/>
      <c r="I147" s="322"/>
      <c r="J147" s="229"/>
      <c r="K147" s="214"/>
      <c r="L147" s="141"/>
      <c r="M147" s="214"/>
      <c r="N147" s="223"/>
      <c r="O147" s="214"/>
      <c r="P147" s="274">
        <f>F147*1.06</f>
        <v>0</v>
      </c>
      <c r="Q147" s="250">
        <f t="shared" si="32"/>
        <v>-100</v>
      </c>
      <c r="R147" s="274">
        <f>F147*1.12</f>
        <v>0</v>
      </c>
      <c r="S147" s="256">
        <f t="shared" si="33"/>
        <v>-100</v>
      </c>
      <c r="T147" s="256">
        <f t="shared" si="34"/>
        <v>-100</v>
      </c>
      <c r="U147" s="250">
        <f t="shared" si="30"/>
        <v>0</v>
      </c>
      <c r="V147" s="267" t="e">
        <f t="shared" si="37"/>
        <v>#REF!</v>
      </c>
      <c r="W147" s="30"/>
    </row>
    <row r="148" spans="1:23" ht="16.5" customHeight="1">
      <c r="A148" s="202">
        <v>23</v>
      </c>
      <c r="B148" s="203" t="s">
        <v>114</v>
      </c>
      <c r="C148" s="204" t="s">
        <v>77</v>
      </c>
      <c r="D148" s="209">
        <f>D102+D111+D116+D117+D118+D121+D122+D123+D127+D133+D139+D144+D147</f>
        <v>0</v>
      </c>
      <c r="E148" s="209">
        <f>E102+E111+E116+E117+E118+E121+E122+E123+E127+E133+E139+E144+E147</f>
        <v>0</v>
      </c>
      <c r="F148" s="209">
        <f>F102+F111+F116+F117+F118+F121+F122+F123+F127+F133+F139+F144+F147</f>
        <v>0</v>
      </c>
      <c r="G148" s="209">
        <f>G102+G111+G116+G117+G118+G121+G122+G123+G127+G133+G139+G144+G147</f>
        <v>0</v>
      </c>
      <c r="H148" s="209">
        <f>H102+H111+H116+H117+H118+H121+H122+H123+H127+H133+H139+H144</f>
        <v>384.3768326602321</v>
      </c>
      <c r="I148" s="209">
        <f>I102+I111+I116+I117+I118+I121+I122+I123+I127+I133+I139+I144</f>
        <v>367.0416252003802</v>
      </c>
      <c r="J148" s="209">
        <f>J102+J111+J116+J117+J118+J121+J122+J123+J127+J133+J139+J144</f>
        <v>417.1954036274005</v>
      </c>
      <c r="K148" s="209">
        <f>J148/(H148+1E-133)*100-100</f>
        <v>8.538124095574261</v>
      </c>
      <c r="L148" s="277">
        <f>L102+L111+L116+L117+L118+L121+L122+L123+L127+L133+L139+L144</f>
        <v>393.88490613196336</v>
      </c>
      <c r="M148" s="345">
        <f>L148/(H148+1E-106)*100-100</f>
        <v>2.4736333368290815</v>
      </c>
      <c r="N148" s="209">
        <f t="shared" si="38"/>
        <v>-23.31049749543712</v>
      </c>
      <c r="O148" s="351">
        <f>L148/($L$163+1E-103)*100</f>
        <v>98.74650559017496</v>
      </c>
      <c r="P148" s="44" t="e">
        <f>Q102+Q111+Q116+Q117+Q118+Q121+Q122+Q123+Q127+P133+P139+P144+P147</f>
        <v>#REF!</v>
      </c>
      <c r="Q148" s="44" t="e">
        <f t="shared" si="32"/>
        <v>#REF!</v>
      </c>
      <c r="R148" s="45" t="e">
        <f>S102+S111+S116+S117+S118+S121+S122+S123+S127+R133+R139+R144+R147</f>
        <v>#REF!</v>
      </c>
      <c r="S148" s="206" t="e">
        <f t="shared" si="33"/>
        <v>#REF!</v>
      </c>
      <c r="T148" s="206" t="e">
        <f t="shared" si="34"/>
        <v>#REF!</v>
      </c>
      <c r="U148" s="44" t="e">
        <f t="shared" si="30"/>
        <v>#REF!</v>
      </c>
      <c r="V148" s="205" t="e">
        <f t="shared" si="37"/>
        <v>#REF!</v>
      </c>
      <c r="W148" s="207"/>
    </row>
    <row r="149" spans="1:23" ht="13.5" customHeight="1">
      <c r="A149" s="202">
        <v>24</v>
      </c>
      <c r="B149" s="203" t="s">
        <v>115</v>
      </c>
      <c r="C149" s="208" t="s">
        <v>116</v>
      </c>
      <c r="D149" s="209">
        <f>D148/(D23+1E-100)*1000</f>
        <v>0</v>
      </c>
      <c r="E149" s="209">
        <f>E148/(E23+1E-100)*1000</f>
        <v>0</v>
      </c>
      <c r="F149" s="209">
        <f>F148/(F23+1E-100)*1000</f>
        <v>0</v>
      </c>
      <c r="G149" s="209">
        <f>G148/(G23+1E-100)*1000</f>
        <v>0</v>
      </c>
      <c r="H149" s="315">
        <f>H148/H23*1000</f>
        <v>2121.284948456027</v>
      </c>
      <c r="I149" s="209">
        <f>I148/I23*1000</f>
        <v>2025.6160331146812</v>
      </c>
      <c r="J149" s="209">
        <f>J148/J23*1000</f>
        <v>2302.4028897759413</v>
      </c>
      <c r="K149" s="209"/>
      <c r="L149" s="277">
        <f>L148/L23*1000</f>
        <v>2173.757760110173</v>
      </c>
      <c r="M149" s="345">
        <f>L149/(H149+1E-106)*100-100</f>
        <v>2.4736333368290815</v>
      </c>
      <c r="N149" s="209">
        <f t="shared" si="38"/>
        <v>-128.6451296657683</v>
      </c>
      <c r="O149" s="351">
        <f>L149/($L$163+1E-103)*100</f>
        <v>544.9586401223784</v>
      </c>
      <c r="P149" s="61" t="e">
        <f>P148/(Q23+1E-100)*1000</f>
        <v>#REF!</v>
      </c>
      <c r="Q149" s="41" t="e">
        <f t="shared" si="32"/>
        <v>#REF!</v>
      </c>
      <c r="R149" s="210" t="e">
        <f>R148/(S23+1E-100)*1000</f>
        <v>#REF!</v>
      </c>
      <c r="S149" s="206" t="e">
        <f t="shared" si="33"/>
        <v>#REF!</v>
      </c>
      <c r="T149" s="206" t="e">
        <f t="shared" si="34"/>
        <v>#REF!</v>
      </c>
      <c r="U149" s="44" t="e">
        <f t="shared" si="30"/>
        <v>#REF!</v>
      </c>
      <c r="V149" s="205" t="e">
        <f t="shared" si="37"/>
        <v>#REF!</v>
      </c>
      <c r="W149" s="211"/>
    </row>
    <row r="150" spans="1:23" ht="12.75" customHeight="1">
      <c r="A150" s="12"/>
      <c r="B150" s="13" t="s">
        <v>117</v>
      </c>
      <c r="C150" s="131" t="s">
        <v>26</v>
      </c>
      <c r="D150" s="219">
        <f aca="true" t="shared" si="41" ref="D150:J150">D151/(D148+1E-95)*100</f>
        <v>0</v>
      </c>
      <c r="E150" s="214">
        <f t="shared" si="41"/>
        <v>0</v>
      </c>
      <c r="F150" s="219">
        <f t="shared" si="41"/>
        <v>0</v>
      </c>
      <c r="G150" s="214">
        <f t="shared" si="41"/>
        <v>0</v>
      </c>
      <c r="H150" s="214">
        <f>H151/(H148+1E-95)*100</f>
        <v>2.1853554341099266</v>
      </c>
      <c r="I150" s="337">
        <f>I151/(I148+1E-95)*100</f>
        <v>1.3622433143026582</v>
      </c>
      <c r="J150" s="214">
        <f t="shared" si="41"/>
        <v>2.0134450013025758</v>
      </c>
      <c r="K150" s="223">
        <f>J150/(H150+1E-133)*100-100</f>
        <v>-7.866474721873701</v>
      </c>
      <c r="L150" s="219">
        <f>L151/(L148+1E-95)*100</f>
        <v>1.2694063474280095</v>
      </c>
      <c r="M150" s="214">
        <f>L150/(H150+1E-106)*100-100</f>
        <v>-41.91304866866995</v>
      </c>
      <c r="N150" s="214">
        <f t="shared" si="38"/>
        <v>-0.7440386538745662</v>
      </c>
      <c r="O150" s="214">
        <f>L150/($L$163+1E-103)*100</f>
        <v>0.31823875205948526</v>
      </c>
      <c r="P150" s="56" t="e">
        <f>P151/(P148+1E-95)*100</f>
        <v>#REF!</v>
      </c>
      <c r="Q150" s="48" t="e">
        <f t="shared" si="32"/>
        <v>#REF!</v>
      </c>
      <c r="R150" s="56" t="e">
        <f>R151/(R148+1E-95)*100</f>
        <v>#REF!</v>
      </c>
      <c r="S150" s="17" t="e">
        <f t="shared" si="33"/>
        <v>#REF!</v>
      </c>
      <c r="T150" s="17" t="e">
        <f t="shared" si="34"/>
        <v>#REF!</v>
      </c>
      <c r="U150" s="16" t="e">
        <f t="shared" si="30"/>
        <v>#REF!</v>
      </c>
      <c r="V150" s="36" t="e">
        <f t="shared" si="37"/>
        <v>#REF!</v>
      </c>
      <c r="W150" s="30"/>
    </row>
    <row r="151" spans="1:23" ht="12.75" customHeight="1">
      <c r="A151" s="174">
        <v>25</v>
      </c>
      <c r="B151" s="198" t="s">
        <v>118</v>
      </c>
      <c r="C151" s="186" t="s">
        <v>119</v>
      </c>
      <c r="D151" s="182">
        <f>D152+D153+D154+D155+D157+D158</f>
        <v>0</v>
      </c>
      <c r="E151" s="182">
        <f aca="true" t="shared" si="42" ref="E151:L151">E152+E153+E154+E155+E157+E158</f>
        <v>0</v>
      </c>
      <c r="F151" s="182">
        <f t="shared" si="42"/>
        <v>0</v>
      </c>
      <c r="G151" s="182">
        <f t="shared" si="42"/>
        <v>0</v>
      </c>
      <c r="H151" s="182">
        <f>H152+H153+H154+H155+H157+H158</f>
        <v>8.4</v>
      </c>
      <c r="I151" s="181">
        <f>I152+I153+I154+I155+I157+I158</f>
        <v>5</v>
      </c>
      <c r="J151" s="182">
        <f t="shared" si="42"/>
        <v>8.4</v>
      </c>
      <c r="K151" s="182">
        <f>J151/(H151+1E-133)*100-100</f>
        <v>0</v>
      </c>
      <c r="L151" s="182">
        <f t="shared" si="42"/>
        <v>5</v>
      </c>
      <c r="M151" s="346">
        <f>L151/(H151+1E-106)*100-100</f>
        <v>-40.476190476190474</v>
      </c>
      <c r="N151" s="182">
        <f t="shared" si="38"/>
        <v>-3.4000000000000004</v>
      </c>
      <c r="O151" s="346">
        <f>L151/($L$163+1E-103)*100</f>
        <v>1.2534944098250353</v>
      </c>
      <c r="P151" s="199">
        <f>P152+P153+P154+P155+P158</f>
        <v>0</v>
      </c>
      <c r="Q151" s="200">
        <f t="shared" si="32"/>
        <v>-100</v>
      </c>
      <c r="R151" s="199">
        <f>R152+R153+R154+R155+R158</f>
        <v>0</v>
      </c>
      <c r="S151" s="201">
        <f t="shared" si="33"/>
        <v>-100</v>
      </c>
      <c r="T151" s="201">
        <f t="shared" si="34"/>
        <v>-100</v>
      </c>
      <c r="U151" s="170">
        <f t="shared" si="30"/>
        <v>-8.4</v>
      </c>
      <c r="V151" s="169" t="e">
        <f t="shared" si="37"/>
        <v>#REF!</v>
      </c>
      <c r="W151" s="173"/>
    </row>
    <row r="152" spans="1:23" ht="15.75" customHeight="1">
      <c r="A152" s="12" t="s">
        <v>31</v>
      </c>
      <c r="B152" s="13" t="s">
        <v>120</v>
      </c>
      <c r="C152" s="13"/>
      <c r="D152" s="141"/>
      <c r="E152" s="229"/>
      <c r="F152" s="141"/>
      <c r="G152" s="229"/>
      <c r="H152" s="229"/>
      <c r="I152" s="322"/>
      <c r="J152" s="229"/>
      <c r="K152" s="223"/>
      <c r="L152" s="141"/>
      <c r="M152" s="214"/>
      <c r="N152" s="223"/>
      <c r="O152" s="214"/>
      <c r="P152" s="275">
        <f>F152</f>
        <v>0</v>
      </c>
      <c r="Q152" s="272">
        <f t="shared" si="32"/>
        <v>-100</v>
      </c>
      <c r="R152" s="275">
        <f>F152</f>
        <v>0</v>
      </c>
      <c r="S152" s="256">
        <f t="shared" si="33"/>
        <v>-100</v>
      </c>
      <c r="T152" s="256">
        <f t="shared" si="34"/>
        <v>-100</v>
      </c>
      <c r="U152" s="250">
        <f t="shared" si="30"/>
        <v>0</v>
      </c>
      <c r="V152" s="267" t="e">
        <f t="shared" si="37"/>
        <v>#REF!</v>
      </c>
      <c r="W152" s="30"/>
    </row>
    <row r="153" spans="1:23" ht="25.5">
      <c r="A153" s="12" t="s">
        <v>31</v>
      </c>
      <c r="B153" s="318" t="s">
        <v>121</v>
      </c>
      <c r="C153" s="318"/>
      <c r="D153" s="232"/>
      <c r="E153" s="229"/>
      <c r="F153" s="141"/>
      <c r="G153" s="229"/>
      <c r="H153" s="229"/>
      <c r="I153" s="322"/>
      <c r="J153" s="229"/>
      <c r="K153" s="223"/>
      <c r="L153" s="141"/>
      <c r="M153" s="214"/>
      <c r="N153" s="223"/>
      <c r="O153" s="214"/>
      <c r="P153" s="275">
        <f aca="true" t="shared" si="43" ref="P153:P161">F153</f>
        <v>0</v>
      </c>
      <c r="Q153" s="272">
        <f t="shared" si="32"/>
        <v>-100</v>
      </c>
      <c r="R153" s="275">
        <f>F153*1.051</f>
        <v>0</v>
      </c>
      <c r="S153" s="256">
        <f t="shared" si="33"/>
        <v>-100</v>
      </c>
      <c r="T153" s="256">
        <f t="shared" si="34"/>
        <v>-100</v>
      </c>
      <c r="U153" s="250">
        <f t="shared" si="30"/>
        <v>0</v>
      </c>
      <c r="V153" s="267" t="e">
        <f t="shared" si="37"/>
        <v>#REF!</v>
      </c>
      <c r="W153" s="30"/>
    </row>
    <row r="154" spans="1:23" ht="12.75">
      <c r="A154" s="12" t="s">
        <v>31</v>
      </c>
      <c r="B154" s="443" t="s">
        <v>122</v>
      </c>
      <c r="C154" s="443"/>
      <c r="D154" s="232"/>
      <c r="E154" s="229"/>
      <c r="F154" s="141"/>
      <c r="G154" s="229"/>
      <c r="H154" s="229"/>
      <c r="I154" s="322"/>
      <c r="J154" s="229"/>
      <c r="K154" s="223"/>
      <c r="L154" s="141"/>
      <c r="M154" s="214"/>
      <c r="N154" s="223"/>
      <c r="O154" s="214"/>
      <c r="P154" s="275">
        <f t="shared" si="43"/>
        <v>0</v>
      </c>
      <c r="Q154" s="272">
        <f t="shared" si="32"/>
        <v>-100</v>
      </c>
      <c r="R154" s="275">
        <f>F154*1.051</f>
        <v>0</v>
      </c>
      <c r="S154" s="256">
        <f t="shared" si="33"/>
        <v>-100</v>
      </c>
      <c r="T154" s="256">
        <f t="shared" si="34"/>
        <v>-100</v>
      </c>
      <c r="U154" s="250">
        <f t="shared" si="30"/>
        <v>0</v>
      </c>
      <c r="V154" s="267" t="e">
        <f t="shared" si="37"/>
        <v>#REF!</v>
      </c>
      <c r="W154" s="30"/>
    </row>
    <row r="155" spans="1:23" ht="12.75">
      <c r="A155" s="12" t="s">
        <v>31</v>
      </c>
      <c r="B155" s="443" t="s">
        <v>123</v>
      </c>
      <c r="C155" s="443"/>
      <c r="D155" s="232"/>
      <c r="E155" s="229"/>
      <c r="F155" s="141"/>
      <c r="G155" s="229"/>
      <c r="H155" s="229">
        <v>8.4</v>
      </c>
      <c r="I155" s="322">
        <v>5</v>
      </c>
      <c r="J155" s="229">
        <v>8.4</v>
      </c>
      <c r="K155" s="223">
        <f>J155/(H155+1E-133)*100-100</f>
        <v>0</v>
      </c>
      <c r="L155" s="141">
        <f>I155</f>
        <v>5</v>
      </c>
      <c r="M155" s="214">
        <f>L155/(H155+1E-106)*100-100</f>
        <v>-40.476190476190474</v>
      </c>
      <c r="N155" s="223">
        <f t="shared" si="38"/>
        <v>-3.4000000000000004</v>
      </c>
      <c r="O155" s="214">
        <f>L155/($L$163+1E-103)*100</f>
        <v>1.2534944098250353</v>
      </c>
      <c r="P155" s="275">
        <f t="shared" si="43"/>
        <v>0</v>
      </c>
      <c r="Q155" s="272">
        <f t="shared" si="32"/>
        <v>-100</v>
      </c>
      <c r="R155" s="275">
        <f>F155*1.051</f>
        <v>0</v>
      </c>
      <c r="S155" s="256">
        <f t="shared" si="33"/>
        <v>-100</v>
      </c>
      <c r="T155" s="256">
        <f t="shared" si="34"/>
        <v>-100</v>
      </c>
      <c r="U155" s="250">
        <f t="shared" si="30"/>
        <v>-8.4</v>
      </c>
      <c r="V155" s="267" t="e">
        <f t="shared" si="37"/>
        <v>#REF!</v>
      </c>
      <c r="W155" s="30"/>
    </row>
    <row r="156" spans="1:23" ht="12.75">
      <c r="A156" s="12"/>
      <c r="B156" s="444" t="s">
        <v>124</v>
      </c>
      <c r="C156" s="444"/>
      <c r="D156" s="232"/>
      <c r="E156" s="229"/>
      <c r="F156" s="141"/>
      <c r="G156" s="229"/>
      <c r="H156" s="229"/>
      <c r="I156" s="322"/>
      <c r="J156" s="229"/>
      <c r="K156" s="223"/>
      <c r="L156" s="141"/>
      <c r="M156" s="214"/>
      <c r="N156" s="223"/>
      <c r="O156" s="214"/>
      <c r="P156" s="275">
        <f t="shared" si="43"/>
        <v>0</v>
      </c>
      <c r="Q156" s="272">
        <f t="shared" si="32"/>
        <v>-100</v>
      </c>
      <c r="R156" s="275">
        <f>F156*1.051</f>
        <v>0</v>
      </c>
      <c r="S156" s="256">
        <f t="shared" si="33"/>
        <v>-100</v>
      </c>
      <c r="T156" s="256">
        <f t="shared" si="34"/>
        <v>-100</v>
      </c>
      <c r="U156" s="250">
        <f t="shared" si="30"/>
        <v>0</v>
      </c>
      <c r="V156" s="267" t="e">
        <f t="shared" si="37"/>
        <v>#REF!</v>
      </c>
      <c r="W156" s="30"/>
    </row>
    <row r="157" spans="1:23" ht="12.75">
      <c r="A157" s="12" t="s">
        <v>31</v>
      </c>
      <c r="B157" s="13" t="s">
        <v>112</v>
      </c>
      <c r="C157" s="132"/>
      <c r="D157" s="232"/>
      <c r="E157" s="229"/>
      <c r="F157" s="141"/>
      <c r="G157" s="229"/>
      <c r="H157" s="229"/>
      <c r="I157" s="322"/>
      <c r="J157" s="229"/>
      <c r="K157" s="223"/>
      <c r="L157" s="141"/>
      <c r="M157" s="214"/>
      <c r="N157" s="223"/>
      <c r="O157" s="214"/>
      <c r="P157" s="275"/>
      <c r="Q157" s="272"/>
      <c r="R157" s="275"/>
      <c r="S157" s="256"/>
      <c r="T157" s="256"/>
      <c r="U157" s="250"/>
      <c r="V157" s="267"/>
      <c r="W157" s="30"/>
    </row>
    <row r="158" spans="1:23" ht="25.5">
      <c r="A158" s="12" t="s">
        <v>31</v>
      </c>
      <c r="B158" s="158" t="s">
        <v>125</v>
      </c>
      <c r="C158" s="131"/>
      <c r="D158" s="141"/>
      <c r="E158" s="229"/>
      <c r="F158" s="141"/>
      <c r="G158" s="229"/>
      <c r="H158" s="229"/>
      <c r="I158" s="322"/>
      <c r="J158" s="229"/>
      <c r="K158" s="223"/>
      <c r="L158" s="141"/>
      <c r="M158" s="214"/>
      <c r="N158" s="223"/>
      <c r="O158" s="214"/>
      <c r="P158" s="275">
        <f t="shared" si="43"/>
        <v>0</v>
      </c>
      <c r="Q158" s="272">
        <f aca="true" t="shared" si="44" ref="Q158:Q164">P158/(F158+1E-106)*100-100</f>
        <v>-100</v>
      </c>
      <c r="R158" s="275">
        <f>F158</f>
        <v>0</v>
      </c>
      <c r="S158" s="256">
        <f aca="true" t="shared" si="45" ref="S158:S164">R158/(P158+1E-106)*100-100</f>
        <v>-100</v>
      </c>
      <c r="T158" s="256">
        <f aca="true" t="shared" si="46" ref="T158:T164">R158/(F158+1E-106)*100-100</f>
        <v>-100</v>
      </c>
      <c r="U158" s="250">
        <f aca="true" t="shared" si="47" ref="U158:U164">R158-J158</f>
        <v>0</v>
      </c>
      <c r="V158" s="267" t="e">
        <f aca="true" t="shared" si="48" ref="V158:V163">R158/($R$163+1E-103)*100</f>
        <v>#REF!</v>
      </c>
      <c r="W158" s="30"/>
    </row>
    <row r="159" spans="1:23" ht="12.75">
      <c r="A159" s="12"/>
      <c r="B159" s="57" t="s">
        <v>126</v>
      </c>
      <c r="C159" s="131"/>
      <c r="D159" s="141"/>
      <c r="E159" s="229"/>
      <c r="F159" s="141"/>
      <c r="G159" s="229"/>
      <c r="H159" s="229"/>
      <c r="I159" s="322"/>
      <c r="J159" s="229"/>
      <c r="K159" s="223"/>
      <c r="L159" s="141"/>
      <c r="M159" s="214"/>
      <c r="N159" s="223"/>
      <c r="O159" s="214"/>
      <c r="P159" s="275">
        <f t="shared" si="43"/>
        <v>0</v>
      </c>
      <c r="Q159" s="272">
        <f t="shared" si="44"/>
        <v>-100</v>
      </c>
      <c r="R159" s="275">
        <f>F159</f>
        <v>0</v>
      </c>
      <c r="S159" s="256">
        <f t="shared" si="45"/>
        <v>-100</v>
      </c>
      <c r="T159" s="256">
        <f t="shared" si="46"/>
        <v>-100</v>
      </c>
      <c r="U159" s="250">
        <f t="shared" si="47"/>
        <v>0</v>
      </c>
      <c r="V159" s="267" t="e">
        <f t="shared" si="48"/>
        <v>#REF!</v>
      </c>
      <c r="W159" s="30"/>
    </row>
    <row r="160" spans="1:23" ht="13.5">
      <c r="A160" s="12"/>
      <c r="B160" s="58" t="s">
        <v>199</v>
      </c>
      <c r="C160" s="131" t="s">
        <v>119</v>
      </c>
      <c r="D160" s="220"/>
      <c r="E160" s="224">
        <f>E163-E148</f>
        <v>0</v>
      </c>
      <c r="F160" s="220"/>
      <c r="G160" s="224">
        <f>G163-G148</f>
        <v>0</v>
      </c>
      <c r="H160" s="230"/>
      <c r="I160" s="322"/>
      <c r="J160" s="230"/>
      <c r="K160" s="227"/>
      <c r="L160" s="141"/>
      <c r="M160" s="224"/>
      <c r="N160" s="227"/>
      <c r="O160" s="214"/>
      <c r="P160" s="275"/>
      <c r="Q160" s="272">
        <f t="shared" si="44"/>
        <v>-100</v>
      </c>
      <c r="R160" s="275"/>
      <c r="S160" s="256">
        <f t="shared" si="45"/>
        <v>-100</v>
      </c>
      <c r="T160" s="256">
        <f t="shared" si="46"/>
        <v>-100</v>
      </c>
      <c r="U160" s="250">
        <f t="shared" si="47"/>
        <v>0</v>
      </c>
      <c r="V160" s="267" t="e">
        <f t="shared" si="48"/>
        <v>#REF!</v>
      </c>
      <c r="W160" s="30"/>
    </row>
    <row r="161" spans="1:23" ht="15.75">
      <c r="A161" s="3">
        <v>26</v>
      </c>
      <c r="B161" s="13" t="s">
        <v>127</v>
      </c>
      <c r="C161" s="131" t="s">
        <v>119</v>
      </c>
      <c r="D161" s="141"/>
      <c r="E161" s="229"/>
      <c r="F161" s="141"/>
      <c r="G161" s="229"/>
      <c r="H161" s="229"/>
      <c r="I161" s="322"/>
      <c r="J161" s="229"/>
      <c r="K161" s="223"/>
      <c r="L161" s="141"/>
      <c r="M161" s="214"/>
      <c r="N161" s="223"/>
      <c r="O161" s="214"/>
      <c r="P161" s="275">
        <f t="shared" si="43"/>
        <v>0</v>
      </c>
      <c r="Q161" s="272">
        <f t="shared" si="44"/>
        <v>-100</v>
      </c>
      <c r="R161" s="275">
        <f>F161*1.051</f>
        <v>0</v>
      </c>
      <c r="S161" s="256">
        <f t="shared" si="45"/>
        <v>-100</v>
      </c>
      <c r="T161" s="256">
        <f t="shared" si="46"/>
        <v>-100</v>
      </c>
      <c r="U161" s="250">
        <f t="shared" si="47"/>
        <v>0</v>
      </c>
      <c r="V161" s="267" t="e">
        <f t="shared" si="48"/>
        <v>#REF!</v>
      </c>
      <c r="W161" s="59"/>
    </row>
    <row r="162" spans="1:23" ht="25.5">
      <c r="A162" s="3">
        <v>27</v>
      </c>
      <c r="B162" s="13" t="s">
        <v>128</v>
      </c>
      <c r="C162" s="131" t="s">
        <v>119</v>
      </c>
      <c r="D162" s="141"/>
      <c r="E162" s="229"/>
      <c r="F162" s="141"/>
      <c r="G162" s="229"/>
      <c r="H162" s="229"/>
      <c r="I162" s="322"/>
      <c r="J162" s="229"/>
      <c r="K162" s="227"/>
      <c r="L162" s="141"/>
      <c r="M162" s="214"/>
      <c r="N162" s="223"/>
      <c r="O162" s="214"/>
      <c r="P162" s="275"/>
      <c r="Q162" s="272">
        <f t="shared" si="44"/>
        <v>-100</v>
      </c>
      <c r="R162" s="275"/>
      <c r="S162" s="256">
        <f t="shared" si="45"/>
        <v>-100</v>
      </c>
      <c r="T162" s="256">
        <f t="shared" si="46"/>
        <v>-100</v>
      </c>
      <c r="U162" s="250">
        <f t="shared" si="47"/>
        <v>0</v>
      </c>
      <c r="V162" s="267" t="e">
        <f t="shared" si="48"/>
        <v>#REF!</v>
      </c>
      <c r="W162" s="60"/>
    </row>
    <row r="163" spans="1:23" ht="24" customHeight="1">
      <c r="A163" s="202">
        <v>28</v>
      </c>
      <c r="B163" s="203" t="s">
        <v>129</v>
      </c>
      <c r="C163" s="385" t="s">
        <v>119</v>
      </c>
      <c r="D163" s="209">
        <f>D148+D151+D161+D162</f>
        <v>0</v>
      </c>
      <c r="E163" s="209">
        <f>E185</f>
        <v>0</v>
      </c>
      <c r="F163" s="209">
        <f>F148+F151+F161+F162</f>
        <v>0</v>
      </c>
      <c r="G163" s="209">
        <f>G185</f>
        <v>0</v>
      </c>
      <c r="H163" s="209">
        <f>H148+H151+H161+H162</f>
        <v>392.77683266023206</v>
      </c>
      <c r="I163" s="209">
        <f>I148+I151+I161+I162</f>
        <v>372.0416252003802</v>
      </c>
      <c r="J163" s="209">
        <f>J148+J151+J161+J162</f>
        <v>425.59540362740046</v>
      </c>
      <c r="K163" s="209">
        <f>J163/(H163+1E-133)*100-100</f>
        <v>8.355526150789501</v>
      </c>
      <c r="L163" s="209">
        <f>L148+L151+L161+L162</f>
        <v>398.88490613196336</v>
      </c>
      <c r="M163" s="345">
        <f>L163/(H163+1E-106)*100-100</f>
        <v>1.5551002411119867</v>
      </c>
      <c r="N163" s="209">
        <f>L163-J163</f>
        <v>-26.710497495437096</v>
      </c>
      <c r="O163" s="209">
        <f>O148+O151+O161+O162</f>
        <v>100</v>
      </c>
      <c r="P163" s="61" t="e">
        <f>P148+P151+P161+P162</f>
        <v>#REF!</v>
      </c>
      <c r="Q163" s="41" t="e">
        <f t="shared" si="44"/>
        <v>#REF!</v>
      </c>
      <c r="R163" s="61" t="e">
        <f>R148+R151+R161+R162</f>
        <v>#REF!</v>
      </c>
      <c r="S163" s="25" t="e">
        <f t="shared" si="45"/>
        <v>#REF!</v>
      </c>
      <c r="T163" s="25" t="e">
        <f t="shared" si="46"/>
        <v>#REF!</v>
      </c>
      <c r="U163" s="25" t="e">
        <f t="shared" si="47"/>
        <v>#REF!</v>
      </c>
      <c r="V163" s="205" t="e">
        <f t="shared" si="48"/>
        <v>#REF!</v>
      </c>
      <c r="W163" s="212"/>
    </row>
    <row r="164" spans="1:25" ht="22.5" customHeight="1">
      <c r="A164" s="202">
        <v>29</v>
      </c>
      <c r="B164" s="203" t="s">
        <v>130</v>
      </c>
      <c r="C164" s="385" t="s">
        <v>116</v>
      </c>
      <c r="D164" s="209">
        <f aca="true" t="shared" si="49" ref="D164:J164">D163/(D23+1E-99)*1000</f>
        <v>0</v>
      </c>
      <c r="E164" s="209">
        <f t="shared" si="49"/>
        <v>0</v>
      </c>
      <c r="F164" s="209">
        <f t="shared" si="49"/>
        <v>0</v>
      </c>
      <c r="G164" s="209">
        <f t="shared" si="49"/>
        <v>0</v>
      </c>
      <c r="H164" s="209">
        <f t="shared" si="49"/>
        <v>2167.6425643500666</v>
      </c>
      <c r="I164" s="209">
        <f t="shared" si="49"/>
        <v>2053.209852099229</v>
      </c>
      <c r="J164" s="209">
        <f t="shared" si="49"/>
        <v>2348.7605056699804</v>
      </c>
      <c r="K164" s="209">
        <f>J164/(H164+1E-133)*100-100</f>
        <v>8.355526150789501</v>
      </c>
      <c r="L164" s="209">
        <f>L163/(L23+1E-99)*1000</f>
        <v>2201.351579094721</v>
      </c>
      <c r="M164" s="345">
        <f>L164/(H164+1E-106)*100-100</f>
        <v>1.555100241112001</v>
      </c>
      <c r="N164" s="209">
        <f>L164-J164</f>
        <v>-147.40892657525956</v>
      </c>
      <c r="O164" s="209"/>
      <c r="P164" s="5" t="e">
        <f>P163/(Q23+1E-99)*1000</f>
        <v>#REF!</v>
      </c>
      <c r="Q164" s="44" t="e">
        <f t="shared" si="44"/>
        <v>#REF!</v>
      </c>
      <c r="R164" s="5" t="e">
        <f>R163/(S23+1E-99)*1000</f>
        <v>#REF!</v>
      </c>
      <c r="S164" s="206" t="e">
        <f t="shared" si="45"/>
        <v>#REF!</v>
      </c>
      <c r="T164" s="206" t="e">
        <f t="shared" si="46"/>
        <v>#REF!</v>
      </c>
      <c r="U164" s="44" t="e">
        <f t="shared" si="47"/>
        <v>#REF!</v>
      </c>
      <c r="V164" s="41"/>
      <c r="W164" s="213"/>
      <c r="Y164">
        <v>1069.92</v>
      </c>
    </row>
    <row r="165" spans="1:32" ht="12" customHeight="1">
      <c r="A165" s="12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1:32" ht="34.5" customHeight="1" hidden="1">
      <c r="A166" s="445"/>
      <c r="B166" s="445"/>
      <c r="C166" s="188"/>
      <c r="D166" s="189"/>
      <c r="E166" s="190"/>
      <c r="F166" s="191"/>
      <c r="G166" s="192"/>
      <c r="H166" s="192"/>
      <c r="I166" s="192"/>
      <c r="J166" s="193"/>
      <c r="K166" s="194"/>
      <c r="L166" s="195"/>
      <c r="M166" s="339"/>
      <c r="N166" s="194"/>
      <c r="O166" s="194"/>
      <c r="P166" s="196"/>
      <c r="Q166" s="196"/>
      <c r="R166" s="196"/>
      <c r="S166" s="197"/>
      <c r="T166" s="196"/>
      <c r="U166" s="196"/>
      <c r="V166" s="196"/>
      <c r="W166" s="187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1:32" s="313" customFormat="1" ht="24" customHeight="1">
      <c r="A167" s="446" t="s">
        <v>207</v>
      </c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312"/>
      <c r="Y167" s="312"/>
      <c r="Z167" s="312"/>
      <c r="AA167" s="312"/>
      <c r="AB167" s="312"/>
      <c r="AC167" s="312"/>
      <c r="AD167" s="312"/>
      <c r="AE167" s="312"/>
      <c r="AF167" s="312"/>
    </row>
    <row r="168" spans="1:32" s="150" customFormat="1" ht="15.75" customHeight="1">
      <c r="A168" s="447" t="s">
        <v>0</v>
      </c>
      <c r="B168" s="448" t="s">
        <v>131</v>
      </c>
      <c r="C168" s="425"/>
      <c r="D168" s="386"/>
      <c r="E168" s="386"/>
      <c r="F168" s="386"/>
      <c r="G168" s="386"/>
      <c r="H168" s="428" t="s">
        <v>198</v>
      </c>
      <c r="I168" s="422" t="s">
        <v>185</v>
      </c>
      <c r="J168" s="422"/>
      <c r="K168" s="425"/>
      <c r="L168" s="422" t="s">
        <v>191</v>
      </c>
      <c r="M168" s="422"/>
      <c r="N168" s="422"/>
      <c r="O168" s="423" t="s">
        <v>175</v>
      </c>
      <c r="P168" s="423"/>
      <c r="Q168" s="423"/>
      <c r="R168" s="423"/>
      <c r="S168" s="423"/>
      <c r="T168" s="423"/>
      <c r="U168" s="423"/>
      <c r="V168" s="423"/>
      <c r="W168" s="424"/>
      <c r="X168" s="149"/>
      <c r="Y168" s="149"/>
      <c r="Z168" s="149"/>
      <c r="AA168" s="149"/>
      <c r="AB168" s="149"/>
      <c r="AC168" s="149"/>
      <c r="AD168" s="149"/>
      <c r="AE168" s="149"/>
      <c r="AF168" s="149"/>
    </row>
    <row r="169" spans="1:32" ht="22.5" customHeight="1">
      <c r="A169" s="447"/>
      <c r="B169" s="449"/>
      <c r="C169" s="426"/>
      <c r="D169" s="386"/>
      <c r="E169" s="386"/>
      <c r="F169" s="386"/>
      <c r="G169" s="386"/>
      <c r="H169" s="429"/>
      <c r="I169" s="413" t="s">
        <v>222</v>
      </c>
      <c r="J169" s="414"/>
      <c r="K169" s="426"/>
      <c r="L169" s="415" t="s">
        <v>222</v>
      </c>
      <c r="M169" s="423"/>
      <c r="N169" s="424"/>
      <c r="O169" s="409"/>
      <c r="P169" s="409"/>
      <c r="Q169" s="409"/>
      <c r="R169" s="409"/>
      <c r="S169" s="409"/>
      <c r="T169" s="409"/>
      <c r="U169" s="409"/>
      <c r="V169" s="409"/>
      <c r="W169" s="410"/>
      <c r="X169" s="63"/>
      <c r="Y169" s="63"/>
      <c r="Z169" s="64"/>
      <c r="AA169" s="49"/>
      <c r="AB169" s="49"/>
      <c r="AC169" s="49"/>
      <c r="AD169" s="49"/>
      <c r="AE169" s="49"/>
      <c r="AF169" s="49"/>
    </row>
    <row r="170" spans="1:32" ht="48" customHeight="1">
      <c r="A170" s="447"/>
      <c r="B170" s="450"/>
      <c r="C170" s="427"/>
      <c r="D170" s="386"/>
      <c r="E170" s="386"/>
      <c r="F170" s="386"/>
      <c r="G170" s="386"/>
      <c r="H170" s="430"/>
      <c r="I170" s="317" t="s">
        <v>221</v>
      </c>
      <c r="J170" s="387" t="s">
        <v>223</v>
      </c>
      <c r="K170" s="427"/>
      <c r="L170" s="317" t="s">
        <v>221</v>
      </c>
      <c r="M170" s="416" t="s">
        <v>223</v>
      </c>
      <c r="N170" s="416"/>
      <c r="O170" s="411"/>
      <c r="P170" s="411"/>
      <c r="Q170" s="411"/>
      <c r="R170" s="411"/>
      <c r="S170" s="411"/>
      <c r="T170" s="411"/>
      <c r="U170" s="411"/>
      <c r="V170" s="411"/>
      <c r="W170" s="412"/>
      <c r="X170" s="63"/>
      <c r="Y170" s="63"/>
      <c r="Z170" s="64"/>
      <c r="AA170" s="49"/>
      <c r="AB170" s="49"/>
      <c r="AC170" s="49"/>
      <c r="AD170" s="49"/>
      <c r="AE170" s="49"/>
      <c r="AF170" s="49"/>
    </row>
    <row r="171" spans="1:32" s="152" customFormat="1" ht="11.25" customHeight="1">
      <c r="A171" s="289">
        <v>1</v>
      </c>
      <c r="B171" s="290">
        <v>2</v>
      </c>
      <c r="C171" s="283">
        <v>3</v>
      </c>
      <c r="D171" s="283"/>
      <c r="E171" s="283"/>
      <c r="F171" s="283"/>
      <c r="G171" s="283"/>
      <c r="H171" s="397">
        <v>4</v>
      </c>
      <c r="I171" s="290">
        <v>5</v>
      </c>
      <c r="J171" s="291">
        <v>6</v>
      </c>
      <c r="K171" s="388">
        <v>7</v>
      </c>
      <c r="L171" s="290">
        <v>8</v>
      </c>
      <c r="M171" s="417">
        <v>9</v>
      </c>
      <c r="N171" s="418"/>
      <c r="O171" s="419"/>
      <c r="P171" s="420"/>
      <c r="Q171" s="420"/>
      <c r="R171" s="420"/>
      <c r="S171" s="420"/>
      <c r="T171" s="420"/>
      <c r="U171" s="420"/>
      <c r="V171" s="420"/>
      <c r="W171" s="421"/>
      <c r="X171" s="151"/>
      <c r="Y171" s="151"/>
      <c r="Z171" s="151"/>
      <c r="AA171" s="151"/>
      <c r="AB171" s="151"/>
      <c r="AC171" s="151"/>
      <c r="AD171" s="151"/>
      <c r="AE171" s="151"/>
      <c r="AF171" s="151"/>
    </row>
    <row r="172" spans="1:23" s="33" customFormat="1" ht="12.75" customHeight="1">
      <c r="A172" s="65">
        <v>1</v>
      </c>
      <c r="B172" s="66" t="s">
        <v>138</v>
      </c>
      <c r="C172" s="386"/>
      <c r="D172" s="386"/>
      <c r="E172" s="386"/>
      <c r="F172" s="386"/>
      <c r="G172" s="386"/>
      <c r="H172" s="398"/>
      <c r="I172" s="237"/>
      <c r="J172" s="53"/>
      <c r="K172" s="386"/>
      <c r="L172" s="75"/>
      <c r="M172" s="417"/>
      <c r="N172" s="418"/>
      <c r="O172" s="419"/>
      <c r="P172" s="420"/>
      <c r="Q172" s="420"/>
      <c r="R172" s="420"/>
      <c r="S172" s="420"/>
      <c r="T172" s="420"/>
      <c r="U172" s="420"/>
      <c r="V172" s="420"/>
      <c r="W172" s="421"/>
    </row>
    <row r="173" spans="1:23" ht="12.75">
      <c r="A173" s="68"/>
      <c r="B173" s="69" t="s">
        <v>139</v>
      </c>
      <c r="C173" s="386"/>
      <c r="D173" s="386"/>
      <c r="E173" s="386"/>
      <c r="F173" s="386"/>
      <c r="G173" s="386"/>
      <c r="H173" s="398"/>
      <c r="I173" s="39"/>
      <c r="J173" s="139"/>
      <c r="K173" s="386"/>
      <c r="L173" s="242"/>
      <c r="M173" s="417"/>
      <c r="N173" s="418"/>
      <c r="O173" s="419"/>
      <c r="P173" s="420"/>
      <c r="Q173" s="420"/>
      <c r="R173" s="420"/>
      <c r="S173" s="420"/>
      <c r="T173" s="420"/>
      <c r="U173" s="420"/>
      <c r="V173" s="420"/>
      <c r="W173" s="421"/>
    </row>
    <row r="174" spans="1:23" ht="12.75">
      <c r="A174" s="68"/>
      <c r="B174" s="69" t="s">
        <v>140</v>
      </c>
      <c r="C174" s="386"/>
      <c r="D174" s="386"/>
      <c r="E174" s="386"/>
      <c r="F174" s="386"/>
      <c r="G174" s="386"/>
      <c r="H174" s="398"/>
      <c r="I174" s="39"/>
      <c r="J174" s="139"/>
      <c r="K174" s="386"/>
      <c r="L174" s="242"/>
      <c r="M174" s="417"/>
      <c r="N174" s="418"/>
      <c r="O174" s="419"/>
      <c r="P174" s="420"/>
      <c r="Q174" s="420"/>
      <c r="R174" s="420"/>
      <c r="S174" s="420"/>
      <c r="T174" s="420"/>
      <c r="U174" s="420"/>
      <c r="V174" s="420"/>
      <c r="W174" s="421"/>
    </row>
    <row r="175" spans="1:23" ht="12.75">
      <c r="A175" s="68"/>
      <c r="B175" s="71" t="s">
        <v>141</v>
      </c>
      <c r="C175" s="386"/>
      <c r="D175" s="386"/>
      <c r="E175" s="386"/>
      <c r="F175" s="386"/>
      <c r="G175" s="386"/>
      <c r="H175" s="398"/>
      <c r="I175" s="39"/>
      <c r="J175" s="139"/>
      <c r="K175" s="386"/>
      <c r="L175" s="242"/>
      <c r="M175" s="417"/>
      <c r="N175" s="418"/>
      <c r="O175" s="419"/>
      <c r="P175" s="420"/>
      <c r="Q175" s="420"/>
      <c r="R175" s="420"/>
      <c r="S175" s="420"/>
      <c r="T175" s="420"/>
      <c r="U175" s="420"/>
      <c r="V175" s="420"/>
      <c r="W175" s="421"/>
    </row>
    <row r="176" spans="1:23" s="33" customFormat="1" ht="12.75">
      <c r="A176" s="65">
        <v>2</v>
      </c>
      <c r="B176" s="244" t="s">
        <v>149</v>
      </c>
      <c r="C176" s="386"/>
      <c r="D176" s="386"/>
      <c r="E176" s="386"/>
      <c r="F176" s="386"/>
      <c r="G176" s="386"/>
      <c r="H176" s="398"/>
      <c r="I176" s="75"/>
      <c r="J176" s="53"/>
      <c r="K176" s="386"/>
      <c r="L176" s="75"/>
      <c r="M176" s="417"/>
      <c r="N176" s="418"/>
      <c r="O176" s="419"/>
      <c r="P176" s="420"/>
      <c r="Q176" s="420"/>
      <c r="R176" s="420"/>
      <c r="S176" s="420"/>
      <c r="T176" s="420"/>
      <c r="U176" s="420"/>
      <c r="V176" s="420"/>
      <c r="W176" s="421"/>
    </row>
    <row r="177" spans="1:23" ht="12.75">
      <c r="A177" s="68" t="s">
        <v>142</v>
      </c>
      <c r="B177" s="246" t="s">
        <v>143</v>
      </c>
      <c r="C177" s="386"/>
      <c r="D177" s="386"/>
      <c r="E177" s="386"/>
      <c r="F177" s="386"/>
      <c r="G177" s="386"/>
      <c r="H177" s="399">
        <f>1119.97</f>
        <v>1119.97</v>
      </c>
      <c r="I177" s="75">
        <f>181.2</f>
        <v>181.2</v>
      </c>
      <c r="J177" s="53">
        <f>H177</f>
        <v>1119.97</v>
      </c>
      <c r="K177" s="386"/>
      <c r="L177" s="75">
        <f>L178+L179</f>
        <v>181.2</v>
      </c>
      <c r="M177" s="451">
        <f>L164</f>
        <v>2201.351579094721</v>
      </c>
      <c r="N177" s="452"/>
      <c r="O177" s="453">
        <f>M177*L177/1000</f>
        <v>398.88490613196336</v>
      </c>
      <c r="P177" s="454"/>
      <c r="Q177" s="454"/>
      <c r="R177" s="454"/>
      <c r="S177" s="454"/>
      <c r="T177" s="454"/>
      <c r="U177" s="454"/>
      <c r="V177" s="454"/>
      <c r="W177" s="455"/>
    </row>
    <row r="178" spans="1:23" ht="15.75" customHeight="1">
      <c r="A178" s="68"/>
      <c r="B178" s="246" t="s">
        <v>177</v>
      </c>
      <c r="C178" s="386"/>
      <c r="D178" s="386"/>
      <c r="E178" s="386"/>
      <c r="F178" s="386"/>
      <c r="G178" s="386"/>
      <c r="H178" s="397">
        <f>H177</f>
        <v>1119.97</v>
      </c>
      <c r="I178" s="43">
        <f>I177</f>
        <v>181.2</v>
      </c>
      <c r="J178" s="53">
        <f>J177</f>
        <v>1119.97</v>
      </c>
      <c r="K178" s="386"/>
      <c r="L178" s="6">
        <v>181.2</v>
      </c>
      <c r="M178" s="456">
        <f>M177</f>
        <v>2201.351579094721</v>
      </c>
      <c r="N178" s="457"/>
      <c r="O178" s="453">
        <f>M178*L178/1000</f>
        <v>398.88490613196336</v>
      </c>
      <c r="P178" s="454"/>
      <c r="Q178" s="454"/>
      <c r="R178" s="454"/>
      <c r="S178" s="454"/>
      <c r="T178" s="454"/>
      <c r="U178" s="454"/>
      <c r="V178" s="454"/>
      <c r="W178" s="455"/>
    </row>
    <row r="179" spans="1:23" ht="12.75">
      <c r="A179" s="68"/>
      <c r="B179" s="246" t="s">
        <v>145</v>
      </c>
      <c r="C179" s="386"/>
      <c r="D179" s="386"/>
      <c r="E179" s="386"/>
      <c r="F179" s="386"/>
      <c r="G179" s="386"/>
      <c r="H179" s="398"/>
      <c r="I179" s="43"/>
      <c r="J179" s="53"/>
      <c r="K179" s="386"/>
      <c r="L179" s="389"/>
      <c r="M179" s="456"/>
      <c r="N179" s="457"/>
      <c r="O179" s="458"/>
      <c r="P179" s="459"/>
      <c r="Q179" s="459"/>
      <c r="R179" s="459"/>
      <c r="S179" s="459"/>
      <c r="T179" s="459"/>
      <c r="U179" s="459"/>
      <c r="V179" s="459"/>
      <c r="W179" s="460"/>
    </row>
    <row r="180" spans="1:23" ht="15" customHeight="1">
      <c r="A180" s="72" t="s">
        <v>146</v>
      </c>
      <c r="B180" s="246" t="s">
        <v>176</v>
      </c>
      <c r="C180" s="386"/>
      <c r="D180" s="386"/>
      <c r="E180" s="386"/>
      <c r="F180" s="386"/>
      <c r="G180" s="386"/>
      <c r="H180" s="398"/>
      <c r="I180" s="39"/>
      <c r="J180" s="139"/>
      <c r="K180" s="386"/>
      <c r="L180" s="242"/>
      <c r="M180" s="456"/>
      <c r="N180" s="457"/>
      <c r="O180" s="458"/>
      <c r="P180" s="459"/>
      <c r="Q180" s="459"/>
      <c r="R180" s="459"/>
      <c r="S180" s="459"/>
      <c r="T180" s="459"/>
      <c r="U180" s="459"/>
      <c r="V180" s="459"/>
      <c r="W180" s="460"/>
    </row>
    <row r="181" spans="1:23" ht="15" customHeight="1">
      <c r="A181" s="73" t="s">
        <v>148</v>
      </c>
      <c r="B181" s="246" t="s">
        <v>149</v>
      </c>
      <c r="C181" s="386"/>
      <c r="D181" s="386"/>
      <c r="E181" s="386"/>
      <c r="F181" s="386"/>
      <c r="G181" s="386"/>
      <c r="H181" s="398"/>
      <c r="I181" s="39"/>
      <c r="J181" s="139"/>
      <c r="K181" s="386"/>
      <c r="L181" s="243"/>
      <c r="M181" s="456"/>
      <c r="N181" s="457"/>
      <c r="O181" s="458"/>
      <c r="P181" s="459"/>
      <c r="Q181" s="459"/>
      <c r="R181" s="459"/>
      <c r="S181" s="459"/>
      <c r="T181" s="459"/>
      <c r="U181" s="459"/>
      <c r="V181" s="459"/>
      <c r="W181" s="460"/>
    </row>
    <row r="182" spans="1:23" s="33" customFormat="1" ht="15" customHeight="1">
      <c r="A182" s="74">
        <v>3</v>
      </c>
      <c r="B182" s="244" t="s">
        <v>150</v>
      </c>
      <c r="C182" s="386"/>
      <c r="D182" s="386"/>
      <c r="E182" s="386"/>
      <c r="F182" s="386"/>
      <c r="G182" s="386"/>
      <c r="H182" s="398"/>
      <c r="I182" s="67"/>
      <c r="J182" s="53"/>
      <c r="K182" s="386"/>
      <c r="L182" s="242"/>
      <c r="M182" s="456"/>
      <c r="N182" s="457"/>
      <c r="O182" s="458"/>
      <c r="P182" s="459"/>
      <c r="Q182" s="459"/>
      <c r="R182" s="459"/>
      <c r="S182" s="459"/>
      <c r="T182" s="459"/>
      <c r="U182" s="459"/>
      <c r="V182" s="459"/>
      <c r="W182" s="460"/>
    </row>
    <row r="183" spans="1:23" s="21" customFormat="1" ht="15.75" customHeight="1">
      <c r="A183" s="12"/>
      <c r="B183" s="247" t="s">
        <v>151</v>
      </c>
      <c r="C183" s="386"/>
      <c r="D183" s="386"/>
      <c r="E183" s="386"/>
      <c r="F183" s="386"/>
      <c r="G183" s="386"/>
      <c r="H183" s="398"/>
      <c r="I183" s="77">
        <f>I177</f>
        <v>181.2</v>
      </c>
      <c r="J183" s="112">
        <f>J178</f>
        <v>1119.97</v>
      </c>
      <c r="K183" s="386"/>
      <c r="L183" s="77">
        <f>L172+L176+L182</f>
        <v>0</v>
      </c>
      <c r="M183" s="456">
        <f>M178</f>
        <v>2201.351579094721</v>
      </c>
      <c r="N183" s="457"/>
      <c r="O183" s="458">
        <f>O177</f>
        <v>398.88490613196336</v>
      </c>
      <c r="P183" s="459"/>
      <c r="Q183" s="459"/>
      <c r="R183" s="459"/>
      <c r="S183" s="459"/>
      <c r="T183" s="459"/>
      <c r="U183" s="459"/>
      <c r="V183" s="459"/>
      <c r="W183" s="460"/>
    </row>
    <row r="184" spans="1:23" s="21" customFormat="1" ht="21" customHeight="1">
      <c r="A184" s="233"/>
      <c r="B184" s="461" t="s">
        <v>204</v>
      </c>
      <c r="C184" s="462"/>
      <c r="D184" s="463"/>
      <c r="E184" s="234">
        <f>(E172*C172+E177*C177+E180*C180+E181*C181+E182*C182)/1000</f>
        <v>0</v>
      </c>
      <c r="F184" s="164" t="s">
        <v>65</v>
      </c>
      <c r="G184" s="234"/>
      <c r="H184" s="400" t="s">
        <v>65</v>
      </c>
      <c r="I184" s="164" t="s">
        <v>65</v>
      </c>
      <c r="J184" s="112">
        <f>J178*I178/1000</f>
        <v>202.93856399999999</v>
      </c>
      <c r="K184" s="112"/>
      <c r="L184" s="164"/>
      <c r="M184" s="464"/>
      <c r="N184" s="465"/>
      <c r="O184" s="466" t="s">
        <v>65</v>
      </c>
      <c r="P184" s="467"/>
      <c r="Q184" s="467"/>
      <c r="R184" s="467"/>
      <c r="S184" s="467"/>
      <c r="T184" s="467"/>
      <c r="U184" s="467"/>
      <c r="V184" s="467"/>
      <c r="W184" s="468"/>
    </row>
    <row r="185" spans="1:23" s="21" customFormat="1" ht="15.75" customHeight="1">
      <c r="A185" s="233"/>
      <c r="B185" s="461" t="s">
        <v>205</v>
      </c>
      <c r="C185" s="462"/>
      <c r="D185" s="463"/>
      <c r="E185" s="234">
        <f>(E172*D172+E177*D177+E180*D180+E181*D181+E182*D182)/1000</f>
        <v>0</v>
      </c>
      <c r="F185" s="164" t="s">
        <v>65</v>
      </c>
      <c r="G185" s="234">
        <f>(J172*G172+J177*G177+J180*G180+J181*G181+J182*G182)/1000</f>
        <v>0</v>
      </c>
      <c r="H185" s="164" t="s">
        <v>65</v>
      </c>
      <c r="I185" s="164" t="s">
        <v>65</v>
      </c>
      <c r="J185" s="164"/>
      <c r="K185" s="164"/>
      <c r="L185" s="164"/>
      <c r="M185" s="464"/>
      <c r="N185" s="465"/>
      <c r="O185" s="466" t="s">
        <v>65</v>
      </c>
      <c r="P185" s="467"/>
      <c r="Q185" s="467"/>
      <c r="R185" s="467"/>
      <c r="S185" s="467"/>
      <c r="T185" s="467"/>
      <c r="U185" s="467"/>
      <c r="V185" s="467"/>
      <c r="W185" s="468"/>
    </row>
    <row r="186" spans="1:23" ht="27" customHeight="1">
      <c r="A186" s="159"/>
      <c r="B186" s="461" t="s">
        <v>200</v>
      </c>
      <c r="C186" s="462"/>
      <c r="D186" s="463"/>
      <c r="E186" s="216">
        <f>D163-E184</f>
        <v>0</v>
      </c>
      <c r="F186" s="164" t="s">
        <v>65</v>
      </c>
      <c r="G186" s="164" t="s">
        <v>65</v>
      </c>
      <c r="H186" s="164" t="s">
        <v>65</v>
      </c>
      <c r="I186" s="164" t="s">
        <v>65</v>
      </c>
      <c r="J186" s="216">
        <f>I163-J184</f>
        <v>169.10306120038024</v>
      </c>
      <c r="K186" s="216"/>
      <c r="L186" s="164"/>
      <c r="M186" s="464"/>
      <c r="N186" s="465"/>
      <c r="O186" s="466" t="s">
        <v>65</v>
      </c>
      <c r="P186" s="467"/>
      <c r="Q186" s="467"/>
      <c r="R186" s="467"/>
      <c r="S186" s="467"/>
      <c r="T186" s="467"/>
      <c r="U186" s="467"/>
      <c r="V186" s="467"/>
      <c r="W186" s="468"/>
    </row>
    <row r="187" spans="1:23" ht="16.5" customHeight="1">
      <c r="A187" s="160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340"/>
      <c r="N187" s="161"/>
      <c r="O187" s="161"/>
      <c r="P187" s="160"/>
      <c r="Q187" s="160"/>
      <c r="R187" s="160"/>
      <c r="S187" s="160"/>
      <c r="T187" s="160"/>
      <c r="U187" s="160"/>
      <c r="V187" s="160"/>
      <c r="W187" s="162"/>
    </row>
    <row r="188" spans="1:23" ht="30" customHeight="1">
      <c r="A188" s="469" t="s">
        <v>152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79"/>
      <c r="L188" s="80"/>
      <c r="M188" s="80"/>
      <c r="N188" s="470" t="s">
        <v>153</v>
      </c>
      <c r="O188" s="470"/>
      <c r="P188" s="470"/>
      <c r="Q188" s="470"/>
      <c r="R188" s="470"/>
      <c r="S188" s="470"/>
      <c r="T188" s="470"/>
      <c r="U188" s="470"/>
      <c r="V188" s="470"/>
      <c r="W188" s="470"/>
    </row>
    <row r="189" spans="1:23" s="49" customFormat="1" ht="5.25" customHeight="1" hidden="1">
      <c r="A189" s="121"/>
      <c r="B189" s="122"/>
      <c r="C189" s="133"/>
      <c r="D189" s="82"/>
      <c r="E189" s="90"/>
      <c r="F189" s="123"/>
      <c r="G189" s="123"/>
      <c r="H189" s="80"/>
      <c r="I189" s="80"/>
      <c r="J189" s="80"/>
      <c r="K189" s="80"/>
      <c r="L189" s="80"/>
      <c r="M189" s="80"/>
      <c r="N189" s="89"/>
      <c r="O189" s="89"/>
      <c r="P189" s="124"/>
      <c r="Q189" s="124"/>
      <c r="R189" s="124"/>
      <c r="S189" s="125"/>
      <c r="T189" s="124"/>
      <c r="U189" s="124"/>
      <c r="V189" s="124"/>
      <c r="W189" s="89"/>
    </row>
    <row r="190" spans="1:23" ht="6.75" customHeight="1" hidden="1">
      <c r="A190" s="85"/>
      <c r="B190" s="85"/>
      <c r="C190" s="133"/>
      <c r="D190" s="82"/>
      <c r="E190" s="90"/>
      <c r="F190" s="80"/>
      <c r="G190" s="80"/>
      <c r="H190" s="86"/>
      <c r="I190" s="86"/>
      <c r="J190" s="87"/>
      <c r="K190" s="87"/>
      <c r="L190" s="80"/>
      <c r="M190" s="80"/>
      <c r="N190" s="88"/>
      <c r="O190" s="88"/>
      <c r="P190" s="83"/>
      <c r="Q190" s="83"/>
      <c r="R190" s="83"/>
      <c r="S190" s="84"/>
      <c r="T190" s="83"/>
      <c r="U190" s="83"/>
      <c r="V190" s="83"/>
      <c r="W190" s="88"/>
    </row>
    <row r="191" spans="1:23" ht="30.75" customHeight="1">
      <c r="A191" s="469" t="s">
        <v>154</v>
      </c>
      <c r="B191" s="469"/>
      <c r="C191" s="469"/>
      <c r="D191" s="469"/>
      <c r="E191" s="469"/>
      <c r="F191" s="80"/>
      <c r="G191" s="80"/>
      <c r="H191" s="471"/>
      <c r="I191" s="471"/>
      <c r="J191" s="471"/>
      <c r="K191" s="80"/>
      <c r="L191" s="80"/>
      <c r="M191" s="80"/>
      <c r="N191" s="472" t="s">
        <v>155</v>
      </c>
      <c r="O191" s="472"/>
      <c r="P191" s="472"/>
      <c r="Q191" s="472"/>
      <c r="R191" s="472"/>
      <c r="S191" s="472"/>
      <c r="T191" s="472"/>
      <c r="U191" s="472"/>
      <c r="V191" s="472"/>
      <c r="W191" s="472"/>
    </row>
    <row r="192" spans="1:23" ht="6" customHeight="1" hidden="1">
      <c r="A192" s="78"/>
      <c r="B192" s="82"/>
      <c r="C192" s="133"/>
      <c r="D192" s="82"/>
      <c r="E192" s="90"/>
      <c r="F192" s="80"/>
      <c r="G192" s="80"/>
      <c r="H192" s="80"/>
      <c r="I192" s="80"/>
      <c r="J192" s="80"/>
      <c r="K192" s="80"/>
      <c r="L192" s="80"/>
      <c r="M192" s="80"/>
      <c r="N192" s="89"/>
      <c r="O192" s="89"/>
      <c r="P192" s="83"/>
      <c r="Q192" s="83"/>
      <c r="R192" s="83"/>
      <c r="S192" s="84"/>
      <c r="T192" s="83"/>
      <c r="U192" s="83"/>
      <c r="V192" s="83"/>
      <c r="W192" s="89"/>
    </row>
    <row r="193" spans="1:23" ht="15" customHeight="1" hidden="1">
      <c r="A193" s="78"/>
      <c r="B193" s="82"/>
      <c r="C193" s="133"/>
      <c r="D193" s="90"/>
      <c r="E193" s="90"/>
      <c r="F193" s="80"/>
      <c r="G193" s="80"/>
      <c r="H193" s="80"/>
      <c r="I193" s="80"/>
      <c r="J193" s="80"/>
      <c r="K193" s="81"/>
      <c r="L193" s="91"/>
      <c r="M193" s="80"/>
      <c r="N193" s="89"/>
      <c r="O193" s="92"/>
      <c r="P193" s="83"/>
      <c r="Q193" s="83"/>
      <c r="R193" s="83"/>
      <c r="S193" s="84"/>
      <c r="T193" s="83"/>
      <c r="U193" s="83"/>
      <c r="V193" s="83"/>
      <c r="W193" s="92"/>
    </row>
    <row r="194" spans="1:23" ht="15.75" customHeight="1" hidden="1">
      <c r="A194" s="78"/>
      <c r="B194" s="82"/>
      <c r="C194" s="133"/>
      <c r="D194" s="90"/>
      <c r="E194" s="90"/>
      <c r="F194" s="80"/>
      <c r="G194" s="80"/>
      <c r="H194" s="80"/>
      <c r="I194" s="80"/>
      <c r="J194" s="80"/>
      <c r="K194" s="81"/>
      <c r="L194" s="91"/>
      <c r="M194" s="80"/>
      <c r="N194" s="89"/>
      <c r="O194" s="92"/>
      <c r="P194" s="83"/>
      <c r="Q194" s="83"/>
      <c r="R194" s="83"/>
      <c r="S194" s="84"/>
      <c r="T194" s="83"/>
      <c r="U194" s="83"/>
      <c r="V194" s="83"/>
      <c r="W194" s="92"/>
    </row>
    <row r="195" spans="1:23" ht="35.25" customHeight="1">
      <c r="A195" s="469" t="s">
        <v>156</v>
      </c>
      <c r="B195" s="469"/>
      <c r="C195" s="469"/>
      <c r="D195" s="469"/>
      <c r="E195" s="469"/>
      <c r="F195" s="473"/>
      <c r="G195" s="473"/>
      <c r="H195" s="87"/>
      <c r="I195" s="87"/>
      <c r="J195" s="80"/>
      <c r="K195" s="93"/>
      <c r="L195" s="93"/>
      <c r="M195" s="341"/>
      <c r="N195" s="474" t="s">
        <v>203</v>
      </c>
      <c r="O195" s="474"/>
      <c r="P195" s="474"/>
      <c r="Q195" s="474"/>
      <c r="R195" s="474"/>
      <c r="S195" s="474"/>
      <c r="T195" s="474"/>
      <c r="U195" s="474"/>
      <c r="V195" s="474"/>
      <c r="W195" s="474"/>
    </row>
    <row r="196" spans="1:23" s="215" customFormat="1" ht="20.25" customHeight="1">
      <c r="A196" s="475" t="s">
        <v>211</v>
      </c>
      <c r="B196" s="476"/>
      <c r="C196" s="476"/>
      <c r="D196" s="476"/>
      <c r="E196" s="476"/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205.5" customHeight="1" hidden="1">
      <c r="A197" s="97"/>
      <c r="B197" s="98"/>
      <c r="C197" s="135"/>
      <c r="D197" s="94"/>
      <c r="E197" s="99"/>
      <c r="F197" s="99"/>
      <c r="G197" s="99"/>
      <c r="H197" s="99"/>
      <c r="I197" s="99"/>
      <c r="J197" s="95"/>
      <c r="K197"/>
      <c r="L197"/>
      <c r="M197" s="96"/>
      <c r="N197"/>
      <c r="O197"/>
      <c r="W197"/>
    </row>
    <row r="198" spans="1:23" ht="12.75" hidden="1">
      <c r="A198" s="100"/>
      <c r="B198" s="100"/>
      <c r="C198" s="134"/>
      <c r="D198" s="101"/>
      <c r="E198" s="101"/>
      <c r="F198" s="101"/>
      <c r="G198" s="101"/>
      <c r="H198" s="101"/>
      <c r="I198" s="101"/>
      <c r="J198" s="101"/>
      <c r="K198" s="102"/>
      <c r="L198"/>
      <c r="M198" s="96"/>
      <c r="N198"/>
      <c r="O198"/>
      <c r="W198"/>
    </row>
    <row r="199" spans="1:23" ht="12.75" hidden="1">
      <c r="A199" s="102"/>
      <c r="B199" s="100"/>
      <c r="C199" s="134"/>
      <c r="D199" s="100"/>
      <c r="E199" s="101"/>
      <c r="F199" s="101"/>
      <c r="G199" s="101"/>
      <c r="H199" s="101"/>
      <c r="I199" s="101"/>
      <c r="J199" s="101"/>
      <c r="K199" s="101"/>
      <c r="L199" s="101"/>
      <c r="M199" s="342"/>
      <c r="N199"/>
      <c r="O199"/>
      <c r="W199"/>
    </row>
    <row r="200" spans="1:23" ht="12.75" hidden="1">
      <c r="A200" s="102"/>
      <c r="B200" s="100"/>
      <c r="C200" s="134"/>
      <c r="D200" s="100"/>
      <c r="E200" s="101"/>
      <c r="F200" s="101"/>
      <c r="G200" s="101"/>
      <c r="H200" s="101"/>
      <c r="I200" s="101"/>
      <c r="J200" s="101"/>
      <c r="K200" s="101"/>
      <c r="L200" s="101"/>
      <c r="M200" s="342"/>
      <c r="N200"/>
      <c r="O200"/>
      <c r="W200"/>
    </row>
    <row r="201" spans="1:23" ht="1.5" customHeight="1" hidden="1">
      <c r="A201" s="477" t="s">
        <v>172</v>
      </c>
      <c r="B201" s="477"/>
      <c r="C201" s="477"/>
      <c r="D201" s="477"/>
      <c r="E201" s="477"/>
      <c r="F201" s="477"/>
      <c r="G201" s="477"/>
      <c r="H201" s="477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100"/>
    </row>
    <row r="202" spans="1:23" ht="12.75" hidden="1">
      <c r="A202" s="102"/>
      <c r="B202" s="100"/>
      <c r="C202" s="134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0"/>
      <c r="O202" s="100"/>
      <c r="W202" s="100"/>
    </row>
    <row r="203" spans="1:32" ht="164.25" customHeight="1">
      <c r="A203" s="293" t="s">
        <v>0</v>
      </c>
      <c r="B203" s="294" t="s">
        <v>131</v>
      </c>
      <c r="C203" s="295" t="s">
        <v>157</v>
      </c>
      <c r="D203" s="296" t="s">
        <v>158</v>
      </c>
      <c r="E203" s="297" t="s">
        <v>159</v>
      </c>
      <c r="F203" s="296" t="s">
        <v>160</v>
      </c>
      <c r="G203" s="298" t="s">
        <v>161</v>
      </c>
      <c r="H203" s="298" t="s">
        <v>162</v>
      </c>
      <c r="I203" s="298" t="s">
        <v>163</v>
      </c>
      <c r="J203" s="299" t="s">
        <v>164</v>
      </c>
      <c r="K203" s="296" t="s">
        <v>165</v>
      </c>
      <c r="L203" s="478" t="s">
        <v>202</v>
      </c>
      <c r="M203" s="478"/>
      <c r="N203" s="478" t="s">
        <v>201</v>
      </c>
      <c r="O203" s="478"/>
      <c r="P203" s="478"/>
      <c r="Q203" s="478"/>
      <c r="R203" s="478"/>
      <c r="S203" s="478"/>
      <c r="T203" s="478"/>
      <c r="U203" s="478"/>
      <c r="V203" s="478"/>
      <c r="W203" s="478"/>
      <c r="X203" s="103"/>
      <c r="Y203" s="103"/>
      <c r="Z203" s="103"/>
      <c r="AA203" s="103"/>
      <c r="AB203" s="103"/>
      <c r="AC203" s="103"/>
      <c r="AD203" s="479"/>
      <c r="AE203" s="479"/>
      <c r="AF203" s="104"/>
    </row>
    <row r="204" spans="1:32" s="156" customFormat="1" ht="10.5">
      <c r="A204" s="300">
        <v>1</v>
      </c>
      <c r="B204" s="301">
        <v>2</v>
      </c>
      <c r="C204" s="289">
        <v>3</v>
      </c>
      <c r="D204" s="301">
        <v>4</v>
      </c>
      <c r="E204" s="302">
        <v>5</v>
      </c>
      <c r="F204" s="301">
        <v>6</v>
      </c>
      <c r="G204" s="289">
        <v>7</v>
      </c>
      <c r="H204" s="301">
        <v>8</v>
      </c>
      <c r="I204" s="289">
        <v>9</v>
      </c>
      <c r="J204" s="303">
        <v>10</v>
      </c>
      <c r="K204" s="289">
        <v>11</v>
      </c>
      <c r="L204" s="480">
        <v>12</v>
      </c>
      <c r="M204" s="480"/>
      <c r="N204" s="481">
        <v>13</v>
      </c>
      <c r="O204" s="482"/>
      <c r="P204" s="482"/>
      <c r="Q204" s="482"/>
      <c r="R204" s="482"/>
      <c r="S204" s="482"/>
      <c r="T204" s="482"/>
      <c r="U204" s="482"/>
      <c r="V204" s="482"/>
      <c r="W204" s="483"/>
      <c r="X204" s="140"/>
      <c r="Y204" s="140"/>
      <c r="Z204" s="140"/>
      <c r="AA204" s="140"/>
      <c r="AB204" s="140"/>
      <c r="AC204" s="140"/>
      <c r="AD204" s="484"/>
      <c r="AE204" s="484"/>
      <c r="AF204" s="155"/>
    </row>
    <row r="205" spans="1:32" ht="25.5">
      <c r="A205" s="2">
        <v>1</v>
      </c>
      <c r="B205" s="66" t="s">
        <v>138</v>
      </c>
      <c r="C205" s="136" t="s">
        <v>53</v>
      </c>
      <c r="D205" s="136" t="s">
        <v>53</v>
      </c>
      <c r="E205" s="136" t="s">
        <v>53</v>
      </c>
      <c r="F205" s="136" t="s">
        <v>53</v>
      </c>
      <c r="G205" s="136" t="s">
        <v>53</v>
      </c>
      <c r="H205" s="136" t="s">
        <v>53</v>
      </c>
      <c r="I205" s="136" t="s">
        <v>53</v>
      </c>
      <c r="J205" s="280" t="s">
        <v>53</v>
      </c>
      <c r="K205" s="126" t="s">
        <v>53</v>
      </c>
      <c r="L205" s="485">
        <f>L206+L207+L208</f>
        <v>0</v>
      </c>
      <c r="M205" s="485"/>
      <c r="N205" s="486">
        <f>N206+N207+N208</f>
        <v>0</v>
      </c>
      <c r="O205" s="487"/>
      <c r="P205" s="487"/>
      <c r="Q205" s="487"/>
      <c r="R205" s="487"/>
      <c r="S205" s="487"/>
      <c r="T205" s="487"/>
      <c r="U205" s="487"/>
      <c r="V205" s="487"/>
      <c r="W205" s="488"/>
      <c r="X205" s="105"/>
      <c r="Y205" s="105"/>
      <c r="Z205" s="105"/>
      <c r="AA205" s="105"/>
      <c r="AB205" s="105"/>
      <c r="AC205" s="105"/>
      <c r="AD205" s="489"/>
      <c r="AE205" s="489"/>
      <c r="AF205" s="104"/>
    </row>
    <row r="206" spans="1:32" ht="12.75">
      <c r="A206" s="128"/>
      <c r="B206" s="129" t="s">
        <v>139</v>
      </c>
      <c r="C206" s="137" t="s">
        <v>53</v>
      </c>
      <c r="D206" s="137" t="s">
        <v>53</v>
      </c>
      <c r="E206" s="137" t="s">
        <v>53</v>
      </c>
      <c r="F206" s="137" t="s">
        <v>53</v>
      </c>
      <c r="G206" s="137" t="s">
        <v>53</v>
      </c>
      <c r="H206" s="137" t="s">
        <v>53</v>
      </c>
      <c r="I206" s="137" t="s">
        <v>53</v>
      </c>
      <c r="J206" s="281" t="s">
        <v>53</v>
      </c>
      <c r="K206" s="126" t="s">
        <v>53</v>
      </c>
      <c r="L206" s="490"/>
      <c r="M206" s="490"/>
      <c r="N206" s="491"/>
      <c r="O206" s="492"/>
      <c r="P206" s="492"/>
      <c r="Q206" s="492"/>
      <c r="R206" s="492"/>
      <c r="S206" s="492"/>
      <c r="T206" s="492"/>
      <c r="U206" s="492"/>
      <c r="V206" s="492"/>
      <c r="W206" s="493"/>
      <c r="X206" s="105"/>
      <c r="Y206" s="105"/>
      <c r="Z206" s="105"/>
      <c r="AA206" s="105"/>
      <c r="AB206" s="105"/>
      <c r="AC206" s="105"/>
      <c r="AD206" s="494"/>
      <c r="AE206" s="494"/>
      <c r="AF206" s="104"/>
    </row>
    <row r="207" spans="1:32" ht="12.75">
      <c r="A207" s="68"/>
      <c r="B207" s="69" t="s">
        <v>140</v>
      </c>
      <c r="C207" s="126" t="s">
        <v>53</v>
      </c>
      <c r="D207" s="126" t="s">
        <v>53</v>
      </c>
      <c r="E207" s="126" t="s">
        <v>53</v>
      </c>
      <c r="F207" s="126" t="s">
        <v>53</v>
      </c>
      <c r="G207" s="126" t="s">
        <v>53</v>
      </c>
      <c r="H207" s="126" t="s">
        <v>53</v>
      </c>
      <c r="I207" s="126" t="s">
        <v>53</v>
      </c>
      <c r="J207" s="279" t="s">
        <v>53</v>
      </c>
      <c r="K207" s="126" t="s">
        <v>53</v>
      </c>
      <c r="L207" s="490"/>
      <c r="M207" s="490"/>
      <c r="N207" s="491"/>
      <c r="O207" s="492"/>
      <c r="P207" s="492"/>
      <c r="Q207" s="492"/>
      <c r="R207" s="492"/>
      <c r="S207" s="492"/>
      <c r="T207" s="492"/>
      <c r="U207" s="492"/>
      <c r="V207" s="492"/>
      <c r="W207" s="493"/>
      <c r="X207" s="105"/>
      <c r="Y207" s="105"/>
      <c r="Z207" s="105"/>
      <c r="AA207" s="105"/>
      <c r="AB207" s="105"/>
      <c r="AC207" s="105"/>
      <c r="AD207" s="494"/>
      <c r="AE207" s="494"/>
      <c r="AF207" s="104"/>
    </row>
    <row r="208" spans="1:32" ht="12.75">
      <c r="A208" s="68"/>
      <c r="B208" s="71" t="s">
        <v>141</v>
      </c>
      <c r="C208" s="126" t="s">
        <v>53</v>
      </c>
      <c r="D208" s="126" t="s">
        <v>53</v>
      </c>
      <c r="E208" s="126" t="s">
        <v>53</v>
      </c>
      <c r="F208" s="126" t="s">
        <v>53</v>
      </c>
      <c r="G208" s="126" t="s">
        <v>53</v>
      </c>
      <c r="H208" s="126" t="s">
        <v>53</v>
      </c>
      <c r="I208" s="126" t="s">
        <v>53</v>
      </c>
      <c r="J208" s="279" t="s">
        <v>53</v>
      </c>
      <c r="K208" s="126" t="s">
        <v>53</v>
      </c>
      <c r="L208" s="495"/>
      <c r="M208" s="495"/>
      <c r="N208" s="491"/>
      <c r="O208" s="492"/>
      <c r="P208" s="492"/>
      <c r="Q208" s="492"/>
      <c r="R208" s="492"/>
      <c r="S208" s="492"/>
      <c r="T208" s="492"/>
      <c r="U208" s="492"/>
      <c r="V208" s="492"/>
      <c r="W208" s="493"/>
      <c r="X208" s="105"/>
      <c r="Y208" s="105"/>
      <c r="Z208" s="105"/>
      <c r="AA208" s="105"/>
      <c r="AB208" s="105"/>
      <c r="AC208" s="105"/>
      <c r="AD208" s="494"/>
      <c r="AE208" s="494"/>
      <c r="AF208" s="104"/>
    </row>
    <row r="209" spans="1:32" ht="14.25" customHeight="1">
      <c r="A209" s="65">
        <v>2</v>
      </c>
      <c r="B209" s="66" t="s">
        <v>149</v>
      </c>
      <c r="C209" s="39"/>
      <c r="D209" s="126"/>
      <c r="E209" s="126"/>
      <c r="F209" s="126"/>
      <c r="G209" s="126"/>
      <c r="H209" s="126"/>
      <c r="I209" s="126"/>
      <c r="J209" s="126"/>
      <c r="K209" s="126"/>
      <c r="L209" s="496">
        <f>L211+L212+L213+L214</f>
        <v>181.19904000000002</v>
      </c>
      <c r="M209" s="496"/>
      <c r="N209" s="486">
        <f>N210+N214</f>
        <v>0</v>
      </c>
      <c r="O209" s="487"/>
      <c r="P209" s="487"/>
      <c r="Q209" s="487"/>
      <c r="R209" s="487"/>
      <c r="S209" s="487"/>
      <c r="T209" s="487"/>
      <c r="U209" s="487"/>
      <c r="V209" s="487"/>
      <c r="W209" s="488"/>
      <c r="X209" s="105"/>
      <c r="Y209" s="105"/>
      <c r="Z209" s="105"/>
      <c r="AA209" s="105"/>
      <c r="AB209" s="105"/>
      <c r="AC209" s="105"/>
      <c r="AD209" s="106"/>
      <c r="AE209" s="106"/>
      <c r="AF209" s="104"/>
    </row>
    <row r="210" spans="1:32" ht="14.25" customHeight="1">
      <c r="A210" s="68" t="s">
        <v>142</v>
      </c>
      <c r="B210" s="71" t="s">
        <v>143</v>
      </c>
      <c r="C210" s="113">
        <f>C211+C212</f>
        <v>181.19904000000002</v>
      </c>
      <c r="D210" s="304">
        <f aca="true" t="shared" si="50" ref="D210:K210">D211+D212</f>
        <v>0.264</v>
      </c>
      <c r="E210" s="126">
        <f t="shared" si="50"/>
        <v>686.36</v>
      </c>
      <c r="F210" s="113">
        <f t="shared" si="50"/>
        <v>0</v>
      </c>
      <c r="G210" s="113">
        <f t="shared" si="50"/>
        <v>0</v>
      </c>
      <c r="H210" s="304">
        <f t="shared" si="50"/>
        <v>0</v>
      </c>
      <c r="I210" s="304">
        <f t="shared" si="50"/>
        <v>0</v>
      </c>
      <c r="J210" s="304">
        <f t="shared" si="50"/>
        <v>0</v>
      </c>
      <c r="K210" s="113">
        <f t="shared" si="50"/>
        <v>0</v>
      </c>
      <c r="L210" s="497">
        <f>C210+F210+G210+K210</f>
        <v>181.19904000000002</v>
      </c>
      <c r="M210" s="497"/>
      <c r="N210" s="498">
        <v>0</v>
      </c>
      <c r="O210" s="499"/>
      <c r="P210" s="499"/>
      <c r="Q210" s="499"/>
      <c r="R210" s="499"/>
      <c r="S210" s="499"/>
      <c r="T210" s="499"/>
      <c r="U210" s="499"/>
      <c r="V210" s="499"/>
      <c r="W210" s="500"/>
      <c r="X210" s="105"/>
      <c r="Y210" s="105"/>
      <c r="Z210" s="105"/>
      <c r="AA210" s="105"/>
      <c r="AB210" s="105"/>
      <c r="AC210" s="105"/>
      <c r="AD210" s="106"/>
      <c r="AE210" s="106"/>
      <c r="AF210" s="104"/>
    </row>
    <row r="211" spans="1:32" ht="21.75" customHeight="1">
      <c r="A211" s="68"/>
      <c r="B211" s="71" t="s">
        <v>144</v>
      </c>
      <c r="C211" s="145">
        <f>D211*E211</f>
        <v>181.19904000000002</v>
      </c>
      <c r="D211" s="39">
        <v>0.264</v>
      </c>
      <c r="E211" s="108">
        <v>686.36</v>
      </c>
      <c r="F211" s="146">
        <v>0</v>
      </c>
      <c r="G211" s="147">
        <f>H211*I211*J211</f>
        <v>0</v>
      </c>
      <c r="H211" s="107">
        <v>0</v>
      </c>
      <c r="I211" s="107">
        <v>0</v>
      </c>
      <c r="J211" s="108">
        <v>0</v>
      </c>
      <c r="K211" s="146">
        <v>0</v>
      </c>
      <c r="L211" s="497">
        <f>C211+F211+G211+K211</f>
        <v>181.19904000000002</v>
      </c>
      <c r="M211" s="497"/>
      <c r="N211" s="501">
        <v>0</v>
      </c>
      <c r="O211" s="502"/>
      <c r="P211" s="502"/>
      <c r="Q211" s="502"/>
      <c r="R211" s="502"/>
      <c r="S211" s="502"/>
      <c r="T211" s="502"/>
      <c r="U211" s="502"/>
      <c r="V211" s="502"/>
      <c r="W211" s="503"/>
      <c r="X211" s="110"/>
      <c r="Y211" s="111"/>
      <c r="Z211" s="109"/>
      <c r="AA211" s="109"/>
      <c r="AB211" s="109"/>
      <c r="AC211" s="110"/>
      <c r="AD211" s="489"/>
      <c r="AE211" s="489"/>
      <c r="AF211" s="104"/>
    </row>
    <row r="212" spans="1:32" ht="12.75">
      <c r="A212" s="68"/>
      <c r="B212" s="71" t="s">
        <v>145</v>
      </c>
      <c r="C212" s="145">
        <f>D212*E212</f>
        <v>0</v>
      </c>
      <c r="D212" s="143"/>
      <c r="E212" s="139">
        <v>0</v>
      </c>
      <c r="F212" s="146">
        <v>0</v>
      </c>
      <c r="G212" s="147">
        <f>H212*I212*J212</f>
        <v>0</v>
      </c>
      <c r="H212" s="139">
        <v>0</v>
      </c>
      <c r="I212" s="139">
        <v>0</v>
      </c>
      <c r="J212" s="139">
        <v>0</v>
      </c>
      <c r="K212" s="146">
        <v>0</v>
      </c>
      <c r="L212" s="497">
        <f>C212+F212+G212+K212</f>
        <v>0</v>
      </c>
      <c r="M212" s="497"/>
      <c r="N212" s="501"/>
      <c r="O212" s="502"/>
      <c r="P212" s="502"/>
      <c r="Q212" s="502"/>
      <c r="R212" s="502"/>
      <c r="S212" s="502"/>
      <c r="T212" s="502"/>
      <c r="U212" s="502"/>
      <c r="V212" s="502"/>
      <c r="W212" s="503"/>
      <c r="X212" s="110"/>
      <c r="Y212" s="111"/>
      <c r="Z212" s="109"/>
      <c r="AA212" s="109"/>
      <c r="AB212" s="109"/>
      <c r="AC212" s="110"/>
      <c r="AD212" s="489"/>
      <c r="AE212" s="489"/>
      <c r="AF212" s="104"/>
    </row>
    <row r="213" spans="1:32" ht="25.5">
      <c r="A213" s="72" t="s">
        <v>146</v>
      </c>
      <c r="B213" s="71" t="s">
        <v>147</v>
      </c>
      <c r="C213" s="126" t="s">
        <v>53</v>
      </c>
      <c r="D213" s="126" t="s">
        <v>53</v>
      </c>
      <c r="E213" s="126" t="s">
        <v>53</v>
      </c>
      <c r="F213" s="126" t="s">
        <v>53</v>
      </c>
      <c r="G213" s="126" t="s">
        <v>53</v>
      </c>
      <c r="H213" s="126" t="s">
        <v>53</v>
      </c>
      <c r="I213" s="126" t="s">
        <v>53</v>
      </c>
      <c r="J213" s="126" t="s">
        <v>53</v>
      </c>
      <c r="K213" s="126" t="s">
        <v>53</v>
      </c>
      <c r="L213" s="490"/>
      <c r="M213" s="490"/>
      <c r="N213" s="491"/>
      <c r="O213" s="492"/>
      <c r="P213" s="492"/>
      <c r="Q213" s="492"/>
      <c r="R213" s="492"/>
      <c r="S213" s="492"/>
      <c r="T213" s="492"/>
      <c r="U213" s="492"/>
      <c r="V213" s="492"/>
      <c r="W213" s="493"/>
      <c r="X213" s="105"/>
      <c r="Y213" s="105"/>
      <c r="Z213" s="105"/>
      <c r="AA213" s="105"/>
      <c r="AB213" s="105"/>
      <c r="AC213" s="105"/>
      <c r="AD213" s="494"/>
      <c r="AE213" s="494"/>
      <c r="AF213" s="104"/>
    </row>
    <row r="214" spans="1:32" ht="25.5">
      <c r="A214" s="73" t="s">
        <v>148</v>
      </c>
      <c r="B214" s="71" t="s">
        <v>149</v>
      </c>
      <c r="C214" s="126" t="s">
        <v>53</v>
      </c>
      <c r="D214" s="126" t="s">
        <v>53</v>
      </c>
      <c r="E214" s="126" t="s">
        <v>53</v>
      </c>
      <c r="F214" s="126" t="s">
        <v>53</v>
      </c>
      <c r="G214" s="126" t="s">
        <v>53</v>
      </c>
      <c r="H214" s="126" t="s">
        <v>53</v>
      </c>
      <c r="I214" s="126" t="s">
        <v>53</v>
      </c>
      <c r="J214" s="126" t="s">
        <v>53</v>
      </c>
      <c r="K214" s="126" t="s">
        <v>53</v>
      </c>
      <c r="L214" s="490"/>
      <c r="M214" s="490"/>
      <c r="N214" s="491"/>
      <c r="O214" s="492"/>
      <c r="P214" s="492"/>
      <c r="Q214" s="492"/>
      <c r="R214" s="492"/>
      <c r="S214" s="492"/>
      <c r="T214" s="492"/>
      <c r="U214" s="492"/>
      <c r="V214" s="492"/>
      <c r="W214" s="493"/>
      <c r="X214" s="105"/>
      <c r="Y214" s="105"/>
      <c r="Z214" s="105"/>
      <c r="AA214" s="105"/>
      <c r="AB214" s="105"/>
      <c r="AC214" s="105"/>
      <c r="AD214" s="316"/>
      <c r="AE214" s="316"/>
      <c r="AF214" s="104"/>
    </row>
    <row r="215" spans="1:32" ht="25.5">
      <c r="A215" s="74">
        <v>3</v>
      </c>
      <c r="B215" s="66" t="s">
        <v>150</v>
      </c>
      <c r="C215" s="126" t="s">
        <v>53</v>
      </c>
      <c r="D215" s="126" t="s">
        <v>53</v>
      </c>
      <c r="E215" s="126" t="s">
        <v>53</v>
      </c>
      <c r="F215" s="126" t="s">
        <v>53</v>
      </c>
      <c r="G215" s="126" t="s">
        <v>53</v>
      </c>
      <c r="H215" s="126" t="s">
        <v>53</v>
      </c>
      <c r="I215" s="126" t="s">
        <v>53</v>
      </c>
      <c r="J215" s="126" t="s">
        <v>53</v>
      </c>
      <c r="K215" s="126" t="s">
        <v>53</v>
      </c>
      <c r="L215" s="490"/>
      <c r="M215" s="490"/>
      <c r="N215" s="491"/>
      <c r="O215" s="492"/>
      <c r="P215" s="492"/>
      <c r="Q215" s="492"/>
      <c r="R215" s="492"/>
      <c r="S215" s="492"/>
      <c r="T215" s="492"/>
      <c r="U215" s="492"/>
      <c r="V215" s="492"/>
      <c r="W215" s="493"/>
      <c r="X215" s="105"/>
      <c r="Y215" s="105"/>
      <c r="Z215" s="105"/>
      <c r="AA215" s="105"/>
      <c r="AB215" s="105"/>
      <c r="AC215" s="105"/>
      <c r="AD215" s="316"/>
      <c r="AE215" s="316"/>
      <c r="AF215" s="104"/>
    </row>
    <row r="216" spans="1:32" ht="12.75">
      <c r="A216" s="12"/>
      <c r="B216" s="76" t="s">
        <v>151</v>
      </c>
      <c r="C216" s="113" t="s">
        <v>53</v>
      </c>
      <c r="D216" s="113" t="s">
        <v>53</v>
      </c>
      <c r="E216" s="113" t="s">
        <v>53</v>
      </c>
      <c r="F216" s="113" t="s">
        <v>53</v>
      </c>
      <c r="G216" s="113" t="s">
        <v>53</v>
      </c>
      <c r="H216" s="113" t="s">
        <v>53</v>
      </c>
      <c r="I216" s="112"/>
      <c r="J216" s="113" t="s">
        <v>53</v>
      </c>
      <c r="K216" s="127"/>
      <c r="L216" s="504">
        <f>L205+L209+L215</f>
        <v>181.19904000000002</v>
      </c>
      <c r="M216" s="504"/>
      <c r="N216" s="505">
        <f>N205+N209</f>
        <v>0</v>
      </c>
      <c r="O216" s="506"/>
      <c r="P216" s="506"/>
      <c r="Q216" s="506"/>
      <c r="R216" s="506"/>
      <c r="S216" s="506"/>
      <c r="T216" s="506"/>
      <c r="U216" s="506"/>
      <c r="V216" s="506"/>
      <c r="W216" s="507"/>
      <c r="X216" s="115"/>
      <c r="Y216" s="115"/>
      <c r="Z216" s="114"/>
      <c r="AA216" s="114"/>
      <c r="AB216" s="114"/>
      <c r="AC216" s="115"/>
      <c r="AD216" s="489"/>
      <c r="AE216" s="489"/>
      <c r="AF216" s="104"/>
    </row>
    <row r="217" spans="1:32" ht="12.75">
      <c r="A217" s="62"/>
      <c r="B217" s="100"/>
      <c r="C217" s="134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0"/>
      <c r="O217" s="100"/>
      <c r="W217" s="116"/>
      <c r="X217" s="104"/>
      <c r="Y217" s="104"/>
      <c r="Z217" s="104"/>
      <c r="AA217" s="104"/>
      <c r="AB217" s="104"/>
      <c r="AC217" s="104"/>
      <c r="AD217" s="104"/>
      <c r="AE217" s="104"/>
      <c r="AF217" s="104"/>
    </row>
    <row r="218" spans="1:23" ht="18.75">
      <c r="A218" s="102"/>
      <c r="B218" s="117" t="s">
        <v>166</v>
      </c>
      <c r="C218" s="134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0"/>
      <c r="O218" s="100"/>
      <c r="W218" s="100"/>
    </row>
    <row r="219" spans="1:23" ht="12.75" hidden="1">
      <c r="A219" s="102"/>
      <c r="B219" s="100"/>
      <c r="C219" s="134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0"/>
      <c r="O219" s="100"/>
      <c r="W219" s="100"/>
    </row>
    <row r="220" spans="1:23" ht="12.75" hidden="1">
      <c r="A220" s="102"/>
      <c r="B220" s="100"/>
      <c r="C220" s="134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0"/>
      <c r="O220" s="100"/>
      <c r="W220" s="100"/>
    </row>
    <row r="221" spans="1:23" ht="12.75" hidden="1">
      <c r="A221" s="102"/>
      <c r="B221" s="100"/>
      <c r="C221" s="134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0"/>
      <c r="O221" s="100"/>
      <c r="W221" s="100"/>
    </row>
    <row r="222" spans="1:23" ht="12.75" hidden="1">
      <c r="A222" s="102"/>
      <c r="B222" s="100"/>
      <c r="C222" s="134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0"/>
      <c r="O222" s="100"/>
      <c r="W222" s="100"/>
    </row>
    <row r="223" spans="1:23" ht="12.75" hidden="1">
      <c r="A223" s="102"/>
      <c r="B223" s="100"/>
      <c r="C223" s="134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0"/>
      <c r="O223" s="100"/>
      <c r="W223" s="100"/>
    </row>
    <row r="224" spans="1:23" ht="12.75" hidden="1">
      <c r="A224" s="102"/>
      <c r="B224" s="100"/>
      <c r="C224" s="134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0"/>
      <c r="O224" s="100"/>
      <c r="W224" s="100"/>
    </row>
    <row r="225" spans="1:23" ht="12.75" hidden="1">
      <c r="A225" s="102"/>
      <c r="B225" s="100"/>
      <c r="C225" s="134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0"/>
      <c r="O225" s="100"/>
      <c r="W225" s="100"/>
    </row>
    <row r="226" spans="1:23" ht="12.75" hidden="1">
      <c r="A226" s="102"/>
      <c r="B226" s="100"/>
      <c r="C226" s="134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0"/>
      <c r="O226" s="100"/>
      <c r="W226" s="100"/>
    </row>
    <row r="227" spans="1:23" ht="18.75" hidden="1">
      <c r="A227" s="102"/>
      <c r="B227" s="117"/>
      <c r="C227" s="134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0"/>
      <c r="O227" s="100"/>
      <c r="W227" s="100"/>
    </row>
    <row r="228" spans="1:23" ht="18.75" hidden="1">
      <c r="A228" s="102"/>
      <c r="B228" s="117"/>
      <c r="C228" s="134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0"/>
      <c r="O228" s="100"/>
      <c r="W228" s="100"/>
    </row>
    <row r="229" spans="1:23" ht="18.75" hidden="1">
      <c r="A229" s="102"/>
      <c r="B229" s="117"/>
      <c r="C229" s="134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0"/>
      <c r="O229" s="100"/>
      <c r="W229" s="100"/>
    </row>
    <row r="230" spans="1:23" ht="18.75" hidden="1">
      <c r="A230" s="102"/>
      <c r="B230" s="117"/>
      <c r="C230" s="134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0"/>
      <c r="O230" s="100"/>
      <c r="W230" s="100"/>
    </row>
    <row r="231" spans="1:23" ht="18.75" hidden="1">
      <c r="A231" s="102"/>
      <c r="B231" s="117"/>
      <c r="C231" s="134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100"/>
      <c r="W231" s="100"/>
    </row>
    <row r="232" ht="18.75" hidden="1">
      <c r="B232" s="118"/>
    </row>
    <row r="233" ht="18.75" hidden="1">
      <c r="B233" s="118"/>
    </row>
    <row r="234" ht="18.75" hidden="1">
      <c r="B234" s="118"/>
    </row>
    <row r="235" ht="18.75">
      <c r="B235" s="118" t="s">
        <v>167</v>
      </c>
    </row>
    <row r="236" ht="18.75">
      <c r="B236" s="118" t="s">
        <v>168</v>
      </c>
    </row>
    <row r="270" ht="12.75"/>
  </sheetData>
  <sheetProtection formatCells="0" formatColumns="0" formatRows="0"/>
  <mergeCells count="123">
    <mergeCell ref="L213:M213"/>
    <mergeCell ref="N213:W213"/>
    <mergeCell ref="AD213:AE213"/>
    <mergeCell ref="AD216:AE216"/>
    <mergeCell ref="L214:M214"/>
    <mergeCell ref="N214:W214"/>
    <mergeCell ref="L215:M215"/>
    <mergeCell ref="N215:W215"/>
    <mergeCell ref="L216:M216"/>
    <mergeCell ref="N216:W216"/>
    <mergeCell ref="AD211:AE211"/>
    <mergeCell ref="L212:M212"/>
    <mergeCell ref="N212:W212"/>
    <mergeCell ref="AD212:AE212"/>
    <mergeCell ref="L210:M210"/>
    <mergeCell ref="N210:W210"/>
    <mergeCell ref="L211:M211"/>
    <mergeCell ref="N211:W211"/>
    <mergeCell ref="L208:M208"/>
    <mergeCell ref="N208:W208"/>
    <mergeCell ref="AD208:AE208"/>
    <mergeCell ref="L209:M209"/>
    <mergeCell ref="N209:W209"/>
    <mergeCell ref="L206:M206"/>
    <mergeCell ref="N206:W206"/>
    <mergeCell ref="AD206:AE206"/>
    <mergeCell ref="L207:M207"/>
    <mergeCell ref="N207:W207"/>
    <mergeCell ref="AD207:AE207"/>
    <mergeCell ref="L204:M204"/>
    <mergeCell ref="N204:W204"/>
    <mergeCell ref="AD204:AE204"/>
    <mergeCell ref="L205:M205"/>
    <mergeCell ref="N205:W205"/>
    <mergeCell ref="AD205:AE205"/>
    <mergeCell ref="A201:V201"/>
    <mergeCell ref="L203:M203"/>
    <mergeCell ref="N203:W203"/>
    <mergeCell ref="AD203:AE203"/>
    <mergeCell ref="A195:E195"/>
    <mergeCell ref="F195:G195"/>
    <mergeCell ref="N195:W195"/>
    <mergeCell ref="A196:W196"/>
    <mergeCell ref="A188:J188"/>
    <mergeCell ref="N188:W188"/>
    <mergeCell ref="A191:E191"/>
    <mergeCell ref="H191:J191"/>
    <mergeCell ref="N191:W191"/>
    <mergeCell ref="B185:D185"/>
    <mergeCell ref="M185:N185"/>
    <mergeCell ref="O185:W185"/>
    <mergeCell ref="B186:D186"/>
    <mergeCell ref="M186:N186"/>
    <mergeCell ref="O186:W186"/>
    <mergeCell ref="M183:N183"/>
    <mergeCell ref="O183:W183"/>
    <mergeCell ref="B184:D184"/>
    <mergeCell ref="M184:N184"/>
    <mergeCell ref="O184:W184"/>
    <mergeCell ref="M181:N181"/>
    <mergeCell ref="O181:W181"/>
    <mergeCell ref="M182:N182"/>
    <mergeCell ref="O182:W182"/>
    <mergeCell ref="M179:N179"/>
    <mergeCell ref="O179:W179"/>
    <mergeCell ref="M180:N180"/>
    <mergeCell ref="O180:W180"/>
    <mergeCell ref="M177:N177"/>
    <mergeCell ref="O177:W177"/>
    <mergeCell ref="M178:N178"/>
    <mergeCell ref="O178:W178"/>
    <mergeCell ref="M175:N175"/>
    <mergeCell ref="O175:W175"/>
    <mergeCell ref="M176:N176"/>
    <mergeCell ref="O176:W176"/>
    <mergeCell ref="M173:N173"/>
    <mergeCell ref="O173:W173"/>
    <mergeCell ref="M174:N174"/>
    <mergeCell ref="O174:W174"/>
    <mergeCell ref="M171:N171"/>
    <mergeCell ref="O171:W171"/>
    <mergeCell ref="M172:N172"/>
    <mergeCell ref="O172:W172"/>
    <mergeCell ref="O168:W170"/>
    <mergeCell ref="I169:J169"/>
    <mergeCell ref="L169:N169"/>
    <mergeCell ref="M170:N170"/>
    <mergeCell ref="B165:W165"/>
    <mergeCell ref="A166:B166"/>
    <mergeCell ref="A167:W167"/>
    <mergeCell ref="A168:A170"/>
    <mergeCell ref="B168:B170"/>
    <mergeCell ref="C168:C170"/>
    <mergeCell ref="H168:H170"/>
    <mergeCell ref="I168:J168"/>
    <mergeCell ref="K168:K170"/>
    <mergeCell ref="L168:N168"/>
    <mergeCell ref="W19:W22"/>
    <mergeCell ref="B154:C154"/>
    <mergeCell ref="B155:C155"/>
    <mergeCell ref="B156:C156"/>
    <mergeCell ref="N5:N6"/>
    <mergeCell ref="O5:O6"/>
    <mergeCell ref="P5:V5"/>
    <mergeCell ref="W8:W17"/>
    <mergeCell ref="H5:H6"/>
    <mergeCell ref="I5:I6"/>
    <mergeCell ref="J5:K5"/>
    <mergeCell ref="L5:M5"/>
    <mergeCell ref="D5:D6"/>
    <mergeCell ref="E5:E6"/>
    <mergeCell ref="F5:F6"/>
    <mergeCell ref="G5:G6"/>
    <mergeCell ref="A1:W2"/>
    <mergeCell ref="A3:D3"/>
    <mergeCell ref="E3:W3"/>
    <mergeCell ref="A4:A6"/>
    <mergeCell ref="B4:B6"/>
    <mergeCell ref="C4:C6"/>
    <mergeCell ref="D4:E4"/>
    <mergeCell ref="F4:I4"/>
    <mergeCell ref="J4:V4"/>
    <mergeCell ref="W4:W6"/>
  </mergeCells>
  <printOptions/>
  <pageMargins left="0.7874015748031497" right="0" top="0" bottom="0" header="0.5118110236220472" footer="0.5118110236220472"/>
  <pageSetup horizontalDpi="600" verticalDpi="600" orientation="portrait" paperSize="9" scale="75" r:id="rId3"/>
  <rowBreaks count="1" manualBreakCount="1">
    <brk id="195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36"/>
  <sheetViews>
    <sheetView zoomScalePageLayoutView="0" workbookViewId="0" topLeftCell="A162">
      <selection activeCell="J156" sqref="J156:O162"/>
    </sheetView>
  </sheetViews>
  <sheetFormatPr defaultColWidth="9.140625" defaultRowHeight="12.75"/>
  <cols>
    <col min="1" max="1" width="3.7109375" style="0" customWidth="1"/>
    <col min="2" max="2" width="21.7109375" style="119" customWidth="1"/>
    <col min="3" max="3" width="10.00390625" style="138" customWidth="1"/>
    <col min="4" max="4" width="8.421875" style="119" hidden="1" customWidth="1"/>
    <col min="5" max="5" width="9.00390625" style="120" hidden="1" customWidth="1"/>
    <col min="6" max="6" width="8.57421875" style="120" hidden="1" customWidth="1"/>
    <col min="7" max="7" width="9.00390625" style="120" hidden="1" customWidth="1"/>
    <col min="8" max="8" width="11.421875" style="120" customWidth="1"/>
    <col min="9" max="9" width="9.00390625" style="120" customWidth="1"/>
    <col min="10" max="10" width="8.140625" style="120" customWidth="1"/>
    <col min="11" max="11" width="8.8515625" style="120" customWidth="1"/>
    <col min="12" max="12" width="7.140625" style="120" customWidth="1"/>
    <col min="13" max="13" width="8.7109375" style="120" customWidth="1"/>
    <col min="14" max="14" width="6.8515625" style="120" customWidth="1"/>
    <col min="15" max="15" width="8.8515625" style="119" customWidth="1"/>
    <col min="16" max="16" width="7.28125" style="119" customWidth="1"/>
    <col min="17" max="17" width="7.8515625" style="0" hidden="1" customWidth="1"/>
    <col min="18" max="18" width="8.7109375" style="0" hidden="1" customWidth="1"/>
    <col min="19" max="19" width="8.28125" style="0" hidden="1" customWidth="1"/>
    <col min="20" max="20" width="8.7109375" style="96" hidden="1" customWidth="1"/>
    <col min="21" max="21" width="9.28125" style="0" hidden="1" customWidth="1"/>
    <col min="22" max="22" width="7.57421875" style="0" hidden="1" customWidth="1"/>
    <col min="23" max="23" width="7.00390625" style="0" hidden="1" customWidth="1"/>
    <col min="24" max="24" width="10.7109375" style="119" customWidth="1"/>
    <col min="26" max="26" width="11.421875" style="0" customWidth="1"/>
  </cols>
  <sheetData>
    <row r="1" spans="1:24" ht="10.5" customHeight="1">
      <c r="A1" s="431" t="s">
        <v>230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</row>
    <row r="2" spans="1:24" ht="36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</row>
    <row r="3" spans="1:24" ht="17.25" customHeight="1">
      <c r="A3" s="432" t="s">
        <v>209</v>
      </c>
      <c r="B3" s="432"/>
      <c r="C3" s="432"/>
      <c r="D3" s="432"/>
      <c r="E3" s="433" t="s">
        <v>210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</row>
    <row r="4" spans="1:24" ht="17.25" customHeight="1">
      <c r="A4" s="434" t="s">
        <v>0</v>
      </c>
      <c r="B4" s="434" t="s">
        <v>1</v>
      </c>
      <c r="C4" s="435" t="s">
        <v>2</v>
      </c>
      <c r="D4" s="434" t="s">
        <v>183</v>
      </c>
      <c r="E4" s="434"/>
      <c r="F4" s="509" t="s">
        <v>185</v>
      </c>
      <c r="G4" s="510"/>
      <c r="H4" s="510"/>
      <c r="I4" s="510"/>
      <c r="J4" s="511"/>
      <c r="K4" s="436" t="s">
        <v>182</v>
      </c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7" t="s">
        <v>3</v>
      </c>
    </row>
    <row r="5" spans="1:24" ht="26.25" customHeight="1">
      <c r="A5" s="434"/>
      <c r="B5" s="434"/>
      <c r="C5" s="435"/>
      <c r="D5" s="434" t="s">
        <v>184</v>
      </c>
      <c r="E5" s="436" t="s">
        <v>169</v>
      </c>
      <c r="F5" s="436" t="s">
        <v>192</v>
      </c>
      <c r="G5" s="434" t="s">
        <v>186</v>
      </c>
      <c r="H5" s="436" t="s">
        <v>4</v>
      </c>
      <c r="I5" s="438" t="s">
        <v>8</v>
      </c>
      <c r="J5" s="436" t="s">
        <v>9</v>
      </c>
      <c r="K5" s="436" t="s">
        <v>4</v>
      </c>
      <c r="L5" s="436"/>
      <c r="M5" s="436" t="s">
        <v>8</v>
      </c>
      <c r="N5" s="436"/>
      <c r="O5" s="436" t="s">
        <v>9</v>
      </c>
      <c r="P5" s="434" t="s">
        <v>10</v>
      </c>
      <c r="Q5" s="436" t="s">
        <v>5</v>
      </c>
      <c r="R5" s="436"/>
      <c r="S5" s="436"/>
      <c r="T5" s="436"/>
      <c r="U5" s="436"/>
      <c r="V5" s="436"/>
      <c r="W5" s="436"/>
      <c r="X5" s="437"/>
    </row>
    <row r="6" spans="1:24" ht="33" customHeight="1">
      <c r="A6" s="434"/>
      <c r="B6" s="434"/>
      <c r="C6" s="435"/>
      <c r="D6" s="434"/>
      <c r="E6" s="436"/>
      <c r="F6" s="436"/>
      <c r="G6" s="434"/>
      <c r="H6" s="436"/>
      <c r="I6" s="439"/>
      <c r="J6" s="436"/>
      <c r="K6" s="1" t="s">
        <v>11</v>
      </c>
      <c r="L6" s="2" t="s">
        <v>7</v>
      </c>
      <c r="M6" s="1" t="s">
        <v>11</v>
      </c>
      <c r="N6" s="1" t="s">
        <v>7</v>
      </c>
      <c r="O6" s="436"/>
      <c r="P6" s="434"/>
      <c r="Q6" s="1" t="s">
        <v>6</v>
      </c>
      <c r="R6" s="2" t="s">
        <v>12</v>
      </c>
      <c r="S6" s="1" t="s">
        <v>6</v>
      </c>
      <c r="T6" s="2" t="s">
        <v>13</v>
      </c>
      <c r="U6" s="2" t="s">
        <v>12</v>
      </c>
      <c r="V6" s="1" t="s">
        <v>14</v>
      </c>
      <c r="W6" s="2" t="s">
        <v>10</v>
      </c>
      <c r="X6" s="437"/>
    </row>
    <row r="7" spans="1:24" s="152" customFormat="1" ht="11.25" customHeight="1">
      <c r="A7" s="148">
        <v>1</v>
      </c>
      <c r="B7" s="148">
        <v>2</v>
      </c>
      <c r="C7" s="148">
        <v>3</v>
      </c>
      <c r="D7" s="148">
        <v>4</v>
      </c>
      <c r="E7" s="153">
        <v>5</v>
      </c>
      <c r="F7" s="148">
        <v>6</v>
      </c>
      <c r="G7" s="148">
        <v>7</v>
      </c>
      <c r="H7" s="148">
        <v>8</v>
      </c>
      <c r="I7" s="148">
        <v>9</v>
      </c>
      <c r="J7" s="153"/>
      <c r="K7" s="148">
        <v>10</v>
      </c>
      <c r="L7" s="148">
        <v>11</v>
      </c>
      <c r="M7" s="148">
        <v>12</v>
      </c>
      <c r="N7" s="338">
        <v>13</v>
      </c>
      <c r="O7" s="148">
        <v>14</v>
      </c>
      <c r="P7" s="148">
        <v>15</v>
      </c>
      <c r="Q7" s="148">
        <v>16</v>
      </c>
      <c r="R7" s="148">
        <v>17</v>
      </c>
      <c r="S7" s="148">
        <v>18</v>
      </c>
      <c r="T7" s="148">
        <v>19</v>
      </c>
      <c r="U7" s="148">
        <v>20</v>
      </c>
      <c r="V7" s="148">
        <v>21</v>
      </c>
      <c r="W7" s="148">
        <v>22</v>
      </c>
      <c r="X7" s="148">
        <v>16</v>
      </c>
    </row>
    <row r="8" spans="1:27" ht="16.5" customHeight="1">
      <c r="A8" s="51">
        <v>1</v>
      </c>
      <c r="B8" s="52" t="s">
        <v>15</v>
      </c>
      <c r="C8" s="163" t="s">
        <v>16</v>
      </c>
      <c r="D8" s="216">
        <f>D9+D10+D11+D12+D13+D14+D15+D16</f>
        <v>0</v>
      </c>
      <c r="E8" s="216">
        <f aca="true" t="shared" si="0" ref="E8:K8">E9+E10+E11+E12+E13+E14+E15+E16</f>
        <v>0</v>
      </c>
      <c r="F8" s="216">
        <f t="shared" si="0"/>
        <v>0</v>
      </c>
      <c r="G8" s="216">
        <f t="shared" si="0"/>
        <v>0</v>
      </c>
      <c r="H8" s="219">
        <f>H9+H10+H11+H12+H13+H14+H15+H16</f>
        <v>186.6</v>
      </c>
      <c r="I8" s="216">
        <f t="shared" si="0"/>
        <v>183.9593983975266</v>
      </c>
      <c r="J8" s="336">
        <f>I8-H8</f>
        <v>-2.640601602473396</v>
      </c>
      <c r="K8" s="219">
        <f t="shared" si="0"/>
        <v>186.6</v>
      </c>
      <c r="L8" s="336">
        <f aca="true" t="shared" si="1" ref="L8:L20">K8/H8*100-100</f>
        <v>0</v>
      </c>
      <c r="M8" s="337">
        <f>M9+M10+M11+M12+M13+M14+M15+M16</f>
        <v>183.9593983975266</v>
      </c>
      <c r="N8" s="336">
        <f>M8/I8*100-100</f>
        <v>0</v>
      </c>
      <c r="O8" s="336">
        <f>M8-K8</f>
        <v>-2.640601602473396</v>
      </c>
      <c r="P8" s="216">
        <f aca="true" t="shared" si="2" ref="P8:P17">N8-L8</f>
        <v>0</v>
      </c>
      <c r="Q8" s="216"/>
      <c r="R8" s="5">
        <f>R9+R10+R11+R12+R13+R14+R15+R16</f>
        <v>0</v>
      </c>
      <c r="S8" s="7">
        <f aca="true" t="shared" si="3" ref="S8:S23">R8/(F8+1E-106)*100-100</f>
        <v>-100</v>
      </c>
      <c r="T8" s="5">
        <f>T9+T10+T11+T12+T13+T14+T15+T16</f>
        <v>0</v>
      </c>
      <c r="U8" s="8">
        <f>T8/(R8+1E-106)*100-100</f>
        <v>-100</v>
      </c>
      <c r="V8" s="8">
        <f aca="true" t="shared" si="4" ref="V8:V23">T8/(F8+1E-106)*100-100</f>
        <v>-100</v>
      </c>
      <c r="W8" s="9">
        <f aca="true" t="shared" si="5" ref="W8:W23">T8-L8</f>
        <v>0</v>
      </c>
      <c r="X8" s="440" t="s">
        <v>224</v>
      </c>
      <c r="Y8" s="157"/>
      <c r="Z8" s="10"/>
      <c r="AA8" s="11"/>
    </row>
    <row r="9" spans="1:27" ht="12.75" customHeight="1">
      <c r="A9" s="12"/>
      <c r="B9" s="13" t="s">
        <v>17</v>
      </c>
      <c r="C9" s="40" t="s">
        <v>16</v>
      </c>
      <c r="D9" s="141"/>
      <c r="E9" s="229"/>
      <c r="F9" s="141"/>
      <c r="G9" s="217"/>
      <c r="H9" s="217">
        <f>H17+H20</f>
        <v>186.6</v>
      </c>
      <c r="I9" s="141">
        <f>I17+I20</f>
        <v>183.9593983975266</v>
      </c>
      <c r="J9" s="214">
        <f aca="true" t="shared" si="6" ref="J9:J72">I9-H9</f>
        <v>-2.640601602473396</v>
      </c>
      <c r="K9" s="217">
        <v>186.6</v>
      </c>
      <c r="L9" s="214">
        <f t="shared" si="1"/>
        <v>0</v>
      </c>
      <c r="M9" s="141">
        <f>M17+M20</f>
        <v>183.9593983975266</v>
      </c>
      <c r="N9" s="214">
        <f aca="true" t="shared" si="7" ref="N9:N71">M9/I9*100-100</f>
        <v>0</v>
      </c>
      <c r="O9" s="214">
        <f aca="true" t="shared" si="8" ref="O9:O72">M9-K9</f>
        <v>-2.640601602473396</v>
      </c>
      <c r="P9" s="223">
        <f t="shared" si="2"/>
        <v>0</v>
      </c>
      <c r="Q9" s="217"/>
      <c r="R9" s="15">
        <f>F9</f>
        <v>0</v>
      </c>
      <c r="S9" s="16">
        <f t="shared" si="3"/>
        <v>-100</v>
      </c>
      <c r="T9" s="15">
        <f>R9</f>
        <v>0</v>
      </c>
      <c r="U9" s="17">
        <f aca="true" t="shared" si="9" ref="U9:U71">T9/(R9+1E-106)*100-100</f>
        <v>-100</v>
      </c>
      <c r="V9" s="17">
        <f t="shared" si="4"/>
        <v>-100</v>
      </c>
      <c r="W9" s="16">
        <f t="shared" si="5"/>
        <v>0</v>
      </c>
      <c r="X9" s="441"/>
      <c r="Y9" s="157"/>
      <c r="Z9" s="10"/>
      <c r="AA9" s="11"/>
    </row>
    <row r="10" spans="1:27" ht="12.75" customHeight="1" hidden="1">
      <c r="A10" s="12"/>
      <c r="B10" s="13" t="s">
        <v>18</v>
      </c>
      <c r="C10" s="40" t="s">
        <v>16</v>
      </c>
      <c r="D10" s="141"/>
      <c r="E10" s="229"/>
      <c r="F10" s="141"/>
      <c r="G10" s="217"/>
      <c r="H10" s="217"/>
      <c r="I10" s="141"/>
      <c r="J10" s="214">
        <f t="shared" si="6"/>
        <v>0</v>
      </c>
      <c r="K10" s="217"/>
      <c r="L10" s="214" t="e">
        <f t="shared" si="1"/>
        <v>#DIV/0!</v>
      </c>
      <c r="M10" s="141"/>
      <c r="N10" s="214" t="e">
        <f t="shared" si="7"/>
        <v>#DIV/0!</v>
      </c>
      <c r="O10" s="214">
        <f t="shared" si="8"/>
        <v>0</v>
      </c>
      <c r="P10" s="223" t="e">
        <f t="shared" si="2"/>
        <v>#DIV/0!</v>
      </c>
      <c r="Q10" s="217"/>
      <c r="R10" s="18"/>
      <c r="S10" s="16">
        <f t="shared" si="3"/>
        <v>-100</v>
      </c>
      <c r="T10" s="18"/>
      <c r="U10" s="17">
        <f t="shared" si="9"/>
        <v>-100</v>
      </c>
      <c r="V10" s="17">
        <f t="shared" si="4"/>
        <v>-100</v>
      </c>
      <c r="W10" s="16" t="e">
        <f t="shared" si="5"/>
        <v>#DIV/0!</v>
      </c>
      <c r="X10" s="441"/>
      <c r="Y10" s="157"/>
      <c r="Z10" s="10"/>
      <c r="AA10" s="11"/>
    </row>
    <row r="11" spans="1:27" ht="12.75" customHeight="1" hidden="1">
      <c r="A11" s="12"/>
      <c r="B11" s="13" t="s">
        <v>19</v>
      </c>
      <c r="C11" s="40" t="s">
        <v>16</v>
      </c>
      <c r="D11" s="141"/>
      <c r="E11" s="229"/>
      <c r="F11" s="141"/>
      <c r="G11" s="217"/>
      <c r="H11" s="217"/>
      <c r="I11" s="141"/>
      <c r="J11" s="214">
        <f t="shared" si="6"/>
        <v>0</v>
      </c>
      <c r="K11" s="217"/>
      <c r="L11" s="214" t="e">
        <f t="shared" si="1"/>
        <v>#DIV/0!</v>
      </c>
      <c r="M11" s="141"/>
      <c r="N11" s="214" t="e">
        <f t="shared" si="7"/>
        <v>#DIV/0!</v>
      </c>
      <c r="O11" s="214">
        <f t="shared" si="8"/>
        <v>0</v>
      </c>
      <c r="P11" s="223" t="e">
        <f t="shared" si="2"/>
        <v>#DIV/0!</v>
      </c>
      <c r="Q11" s="217"/>
      <c r="R11" s="18"/>
      <c r="S11" s="16">
        <f t="shared" si="3"/>
        <v>-100</v>
      </c>
      <c r="T11" s="18"/>
      <c r="U11" s="17">
        <f t="shared" si="9"/>
        <v>-100</v>
      </c>
      <c r="V11" s="17">
        <f t="shared" si="4"/>
        <v>-100</v>
      </c>
      <c r="W11" s="16" t="e">
        <f t="shared" si="5"/>
        <v>#DIV/0!</v>
      </c>
      <c r="X11" s="441"/>
      <c r="Y11" s="157"/>
      <c r="Z11" s="10"/>
      <c r="AA11" s="11"/>
    </row>
    <row r="12" spans="1:27" ht="12.75" customHeight="1" hidden="1">
      <c r="A12" s="12"/>
      <c r="B12" s="13" t="s">
        <v>20</v>
      </c>
      <c r="C12" s="40" t="s">
        <v>16</v>
      </c>
      <c r="D12" s="141"/>
      <c r="E12" s="229"/>
      <c r="F12" s="141"/>
      <c r="G12" s="217"/>
      <c r="H12" s="217"/>
      <c r="I12" s="141"/>
      <c r="J12" s="214">
        <f t="shared" si="6"/>
        <v>0</v>
      </c>
      <c r="K12" s="217"/>
      <c r="L12" s="214" t="e">
        <f t="shared" si="1"/>
        <v>#DIV/0!</v>
      </c>
      <c r="M12" s="141"/>
      <c r="N12" s="214" t="e">
        <f t="shared" si="7"/>
        <v>#DIV/0!</v>
      </c>
      <c r="O12" s="214">
        <f t="shared" si="8"/>
        <v>0</v>
      </c>
      <c r="P12" s="223" t="e">
        <f t="shared" si="2"/>
        <v>#DIV/0!</v>
      </c>
      <c r="Q12" s="217"/>
      <c r="R12" s="18"/>
      <c r="S12" s="16">
        <f t="shared" si="3"/>
        <v>-100</v>
      </c>
      <c r="T12" s="18"/>
      <c r="U12" s="17">
        <f t="shared" si="9"/>
        <v>-100</v>
      </c>
      <c r="V12" s="17">
        <f t="shared" si="4"/>
        <v>-100</v>
      </c>
      <c r="W12" s="16" t="e">
        <f t="shared" si="5"/>
        <v>#DIV/0!</v>
      </c>
      <c r="X12" s="441"/>
      <c r="Y12" s="157"/>
      <c r="Z12" s="10"/>
      <c r="AA12" s="11"/>
    </row>
    <row r="13" spans="1:27" ht="12.75" customHeight="1" hidden="1">
      <c r="A13" s="12"/>
      <c r="B13" s="13" t="s">
        <v>21</v>
      </c>
      <c r="C13" s="40" t="s">
        <v>16</v>
      </c>
      <c r="D13" s="141"/>
      <c r="E13" s="229"/>
      <c r="F13" s="141"/>
      <c r="G13" s="217"/>
      <c r="H13" s="217"/>
      <c r="I13" s="141"/>
      <c r="J13" s="214">
        <f t="shared" si="6"/>
        <v>0</v>
      </c>
      <c r="K13" s="217"/>
      <c r="L13" s="214" t="e">
        <f t="shared" si="1"/>
        <v>#DIV/0!</v>
      </c>
      <c r="M13" s="141"/>
      <c r="N13" s="214" t="e">
        <f t="shared" si="7"/>
        <v>#DIV/0!</v>
      </c>
      <c r="O13" s="214">
        <f t="shared" si="8"/>
        <v>0</v>
      </c>
      <c r="P13" s="223" t="e">
        <f t="shared" si="2"/>
        <v>#DIV/0!</v>
      </c>
      <c r="Q13" s="217"/>
      <c r="R13" s="18"/>
      <c r="S13" s="16">
        <f t="shared" si="3"/>
        <v>-100</v>
      </c>
      <c r="T13" s="18"/>
      <c r="U13" s="17">
        <f t="shared" si="9"/>
        <v>-100</v>
      </c>
      <c r="V13" s="17">
        <f t="shared" si="4"/>
        <v>-100</v>
      </c>
      <c r="W13" s="16" t="e">
        <f t="shared" si="5"/>
        <v>#DIV/0!</v>
      </c>
      <c r="X13" s="441"/>
      <c r="Y13" s="157"/>
      <c r="Z13" s="10"/>
      <c r="AA13" s="11"/>
    </row>
    <row r="14" spans="1:27" ht="12.75" customHeight="1" hidden="1">
      <c r="A14" s="12"/>
      <c r="B14" s="13" t="s">
        <v>22</v>
      </c>
      <c r="C14" s="40" t="s">
        <v>16</v>
      </c>
      <c r="D14" s="141"/>
      <c r="E14" s="229"/>
      <c r="F14" s="141"/>
      <c r="G14" s="217"/>
      <c r="H14" s="217"/>
      <c r="I14" s="141"/>
      <c r="J14" s="214">
        <f t="shared" si="6"/>
        <v>0</v>
      </c>
      <c r="K14" s="217"/>
      <c r="L14" s="214" t="e">
        <f t="shared" si="1"/>
        <v>#DIV/0!</v>
      </c>
      <c r="M14" s="141"/>
      <c r="N14" s="214" t="e">
        <f t="shared" si="7"/>
        <v>#DIV/0!</v>
      </c>
      <c r="O14" s="214">
        <f t="shared" si="8"/>
        <v>0</v>
      </c>
      <c r="P14" s="223" t="e">
        <f t="shared" si="2"/>
        <v>#DIV/0!</v>
      </c>
      <c r="Q14" s="217"/>
      <c r="R14" s="18"/>
      <c r="S14" s="16">
        <f t="shared" si="3"/>
        <v>-100</v>
      </c>
      <c r="T14" s="18"/>
      <c r="U14" s="17">
        <f t="shared" si="9"/>
        <v>-100</v>
      </c>
      <c r="V14" s="17">
        <f t="shared" si="4"/>
        <v>-100</v>
      </c>
      <c r="W14" s="16" t="e">
        <f t="shared" si="5"/>
        <v>#DIV/0!</v>
      </c>
      <c r="X14" s="441"/>
      <c r="Y14" s="157"/>
      <c r="Z14" s="10"/>
      <c r="AA14" s="11"/>
    </row>
    <row r="15" spans="1:27" ht="12.75" customHeight="1" hidden="1">
      <c r="A15" s="12"/>
      <c r="B15" s="13" t="s">
        <v>23</v>
      </c>
      <c r="C15" s="40" t="s">
        <v>16</v>
      </c>
      <c r="D15" s="141"/>
      <c r="E15" s="229"/>
      <c r="F15" s="141"/>
      <c r="G15" s="217"/>
      <c r="H15" s="217"/>
      <c r="I15" s="141"/>
      <c r="J15" s="214">
        <f t="shared" si="6"/>
        <v>0</v>
      </c>
      <c r="K15" s="217"/>
      <c r="L15" s="214" t="e">
        <f t="shared" si="1"/>
        <v>#DIV/0!</v>
      </c>
      <c r="M15" s="141"/>
      <c r="N15" s="214" t="e">
        <f t="shared" si="7"/>
        <v>#DIV/0!</v>
      </c>
      <c r="O15" s="214">
        <f t="shared" si="8"/>
        <v>0</v>
      </c>
      <c r="P15" s="223" t="e">
        <f t="shared" si="2"/>
        <v>#DIV/0!</v>
      </c>
      <c r="Q15" s="217"/>
      <c r="R15" s="18"/>
      <c r="S15" s="16">
        <f t="shared" si="3"/>
        <v>-100</v>
      </c>
      <c r="T15" s="18"/>
      <c r="U15" s="17">
        <f t="shared" si="9"/>
        <v>-100</v>
      </c>
      <c r="V15" s="17">
        <f t="shared" si="4"/>
        <v>-100</v>
      </c>
      <c r="W15" s="16" t="e">
        <f t="shared" si="5"/>
        <v>#DIV/0!</v>
      </c>
      <c r="X15" s="441"/>
      <c r="Y15" s="157"/>
      <c r="Z15" s="10"/>
      <c r="AA15" s="11"/>
    </row>
    <row r="16" spans="1:27" ht="12.75" customHeight="1" hidden="1">
      <c r="A16" s="12"/>
      <c r="B16" s="13" t="s">
        <v>24</v>
      </c>
      <c r="C16" s="40" t="s">
        <v>16</v>
      </c>
      <c r="D16" s="141"/>
      <c r="E16" s="229"/>
      <c r="F16" s="141"/>
      <c r="G16" s="217"/>
      <c r="H16" s="217"/>
      <c r="I16" s="141"/>
      <c r="J16" s="214">
        <f t="shared" si="6"/>
        <v>0</v>
      </c>
      <c r="K16" s="217"/>
      <c r="L16" s="214" t="e">
        <f t="shared" si="1"/>
        <v>#DIV/0!</v>
      </c>
      <c r="M16" s="141"/>
      <c r="N16" s="214" t="e">
        <f t="shared" si="7"/>
        <v>#DIV/0!</v>
      </c>
      <c r="O16" s="214">
        <f t="shared" si="8"/>
        <v>0</v>
      </c>
      <c r="P16" s="223" t="e">
        <f t="shared" si="2"/>
        <v>#DIV/0!</v>
      </c>
      <c r="Q16" s="217"/>
      <c r="R16" s="18"/>
      <c r="S16" s="16">
        <f t="shared" si="3"/>
        <v>-100</v>
      </c>
      <c r="T16" s="18"/>
      <c r="U16" s="17">
        <f t="shared" si="9"/>
        <v>-100</v>
      </c>
      <c r="V16" s="17">
        <f t="shared" si="4"/>
        <v>-100</v>
      </c>
      <c r="W16" s="16" t="e">
        <f t="shared" si="5"/>
        <v>#DIV/0!</v>
      </c>
      <c r="X16" s="441"/>
      <c r="Y16" s="157"/>
      <c r="Z16" s="10"/>
      <c r="AA16" s="11"/>
    </row>
    <row r="17" spans="1:27" ht="12.75" customHeight="1">
      <c r="A17" s="3">
        <v>2</v>
      </c>
      <c r="B17" s="13" t="s">
        <v>25</v>
      </c>
      <c r="C17" s="40" t="s">
        <v>16</v>
      </c>
      <c r="D17" s="141"/>
      <c r="E17" s="229"/>
      <c r="F17" s="141"/>
      <c r="G17" s="217"/>
      <c r="H17" s="217">
        <v>5.4</v>
      </c>
      <c r="I17" s="141">
        <v>2.7593983975266196</v>
      </c>
      <c r="J17" s="214">
        <f t="shared" si="6"/>
        <v>-2.6406016024733807</v>
      </c>
      <c r="K17" s="217">
        <v>5.4</v>
      </c>
      <c r="L17" s="214">
        <f t="shared" si="1"/>
        <v>0</v>
      </c>
      <c r="M17" s="141">
        <v>2.7593983975266196</v>
      </c>
      <c r="N17" s="214">
        <f t="shared" si="7"/>
        <v>0</v>
      </c>
      <c r="O17" s="214">
        <f t="shared" si="8"/>
        <v>-2.6406016024733807</v>
      </c>
      <c r="P17" s="223">
        <f t="shared" si="2"/>
        <v>0</v>
      </c>
      <c r="Q17" s="217"/>
      <c r="R17" s="15">
        <f>F17</f>
        <v>0</v>
      </c>
      <c r="S17" s="16">
        <f t="shared" si="3"/>
        <v>-100</v>
      </c>
      <c r="T17" s="15">
        <f>F17</f>
        <v>0</v>
      </c>
      <c r="U17" s="17">
        <f t="shared" si="9"/>
        <v>-100</v>
      </c>
      <c r="V17" s="17">
        <f t="shared" si="4"/>
        <v>-100</v>
      </c>
      <c r="W17" s="16">
        <f t="shared" si="5"/>
        <v>0</v>
      </c>
      <c r="X17" s="442"/>
      <c r="Y17" s="157"/>
      <c r="Z17" s="10"/>
      <c r="AA17" s="11"/>
    </row>
    <row r="18" spans="1:27" ht="12.75" customHeight="1">
      <c r="A18" s="12"/>
      <c r="B18" s="13" t="s">
        <v>25</v>
      </c>
      <c r="C18" s="40" t="s">
        <v>26</v>
      </c>
      <c r="D18" s="219">
        <f aca="true" t="shared" si="10" ref="D18:K18">D17/(D8+1E-124)*100</f>
        <v>0</v>
      </c>
      <c r="E18" s="214">
        <f t="shared" si="10"/>
        <v>0</v>
      </c>
      <c r="F18" s="219">
        <f>F17/(F8+1E-124)*100</f>
        <v>0</v>
      </c>
      <c r="G18" s="214">
        <f t="shared" si="10"/>
        <v>0</v>
      </c>
      <c r="H18" s="214">
        <f>H17/(H8+1E-124)*100</f>
        <v>2.893890675241158</v>
      </c>
      <c r="I18" s="219">
        <f t="shared" si="10"/>
        <v>1.5000040343487668</v>
      </c>
      <c r="J18" s="214">
        <f t="shared" si="6"/>
        <v>-1.3938866408923911</v>
      </c>
      <c r="K18" s="214">
        <f t="shared" si="10"/>
        <v>2.893890675241158</v>
      </c>
      <c r="L18" s="214">
        <f t="shared" si="1"/>
        <v>0</v>
      </c>
      <c r="M18" s="219">
        <f>M17/(M8+1E-124)*100</f>
        <v>1.5000040343487668</v>
      </c>
      <c r="N18" s="214">
        <f t="shared" si="7"/>
        <v>0</v>
      </c>
      <c r="O18" s="214">
        <f t="shared" si="8"/>
        <v>-1.3938866408923911</v>
      </c>
      <c r="P18" s="223"/>
      <c r="Q18" s="223"/>
      <c r="R18" s="20">
        <f>R17/(R8+1E-124)*100</f>
        <v>0</v>
      </c>
      <c r="S18" s="16">
        <f t="shared" si="3"/>
        <v>-100</v>
      </c>
      <c r="T18" s="20">
        <f>T17/(T8+1E-124)*100</f>
        <v>0</v>
      </c>
      <c r="U18" s="17">
        <f t="shared" si="9"/>
        <v>-100</v>
      </c>
      <c r="V18" s="17">
        <f t="shared" si="4"/>
        <v>-100</v>
      </c>
      <c r="W18" s="16">
        <f t="shared" si="5"/>
        <v>0</v>
      </c>
      <c r="X18" s="367"/>
      <c r="Y18" s="49"/>
      <c r="Z18" s="21"/>
      <c r="AA18" s="22"/>
    </row>
    <row r="19" spans="1:27" ht="14.25" customHeight="1" hidden="1">
      <c r="A19" s="319">
        <v>3</v>
      </c>
      <c r="B19" s="320" t="s">
        <v>178</v>
      </c>
      <c r="C19" s="321" t="s">
        <v>16</v>
      </c>
      <c r="D19" s="322"/>
      <c r="E19" s="322"/>
      <c r="F19" s="322"/>
      <c r="G19" s="322"/>
      <c r="H19" s="335"/>
      <c r="I19" s="220"/>
      <c r="J19" s="214">
        <f t="shared" si="6"/>
        <v>0</v>
      </c>
      <c r="K19" s="141"/>
      <c r="L19" s="214" t="e">
        <f t="shared" si="1"/>
        <v>#DIV/0!</v>
      </c>
      <c r="M19" s="220"/>
      <c r="N19" s="214" t="e">
        <f t="shared" si="7"/>
        <v>#DIV/0!</v>
      </c>
      <c r="O19" s="214">
        <f t="shared" si="8"/>
        <v>0</v>
      </c>
      <c r="P19" s="227" t="e">
        <f>N19-L19</f>
        <v>#DIV/0!</v>
      </c>
      <c r="Q19" s="227"/>
      <c r="R19" s="24"/>
      <c r="S19" s="16">
        <f t="shared" si="3"/>
        <v>-100</v>
      </c>
      <c r="T19" s="24"/>
      <c r="U19" s="8">
        <f t="shared" si="9"/>
        <v>-100</v>
      </c>
      <c r="V19" s="8">
        <f t="shared" si="4"/>
        <v>-100</v>
      </c>
      <c r="W19" s="9" t="e">
        <f t="shared" si="5"/>
        <v>#DIV/0!</v>
      </c>
      <c r="X19" s="440" t="s">
        <v>206</v>
      </c>
      <c r="Y19" s="49"/>
      <c r="Z19" s="21"/>
      <c r="AA19" s="22"/>
    </row>
    <row r="20" spans="1:27" ht="12.75" customHeight="1">
      <c r="A20" s="3">
        <v>4</v>
      </c>
      <c r="B20" s="4" t="s">
        <v>27</v>
      </c>
      <c r="C20" s="40" t="s">
        <v>16</v>
      </c>
      <c r="D20" s="216">
        <f>D8-D17+D19</f>
        <v>0</v>
      </c>
      <c r="E20" s="224">
        <f aca="true" t="shared" si="11" ref="E20:K20">E8-E17+E19</f>
        <v>0</v>
      </c>
      <c r="F20" s="216">
        <f>F8-F17+F19</f>
        <v>0</v>
      </c>
      <c r="G20" s="224">
        <f t="shared" si="11"/>
        <v>0</v>
      </c>
      <c r="H20" s="214">
        <f>H23</f>
        <v>181.2</v>
      </c>
      <c r="I20" s="216">
        <f>I23</f>
        <v>181.2</v>
      </c>
      <c r="J20" s="214">
        <f t="shared" si="6"/>
        <v>0</v>
      </c>
      <c r="K20" s="214">
        <f t="shared" si="11"/>
        <v>181.2</v>
      </c>
      <c r="L20" s="214">
        <f t="shared" si="1"/>
        <v>0</v>
      </c>
      <c r="M20" s="216">
        <f>M23</f>
        <v>181.2</v>
      </c>
      <c r="N20" s="214">
        <f t="shared" si="7"/>
        <v>0</v>
      </c>
      <c r="O20" s="214">
        <f t="shared" si="8"/>
        <v>0</v>
      </c>
      <c r="P20" s="227">
        <f>N20-L20</f>
        <v>0</v>
      </c>
      <c r="Q20" s="227"/>
      <c r="R20" s="5">
        <f>R8-R17+R19</f>
        <v>0</v>
      </c>
      <c r="S20" s="16">
        <f t="shared" si="3"/>
        <v>-100</v>
      </c>
      <c r="T20" s="5">
        <f>T8-T17+T19</f>
        <v>0</v>
      </c>
      <c r="U20" s="8">
        <f t="shared" si="9"/>
        <v>-100</v>
      </c>
      <c r="V20" s="8">
        <f t="shared" si="4"/>
        <v>-100</v>
      </c>
      <c r="W20" s="9">
        <f t="shared" si="5"/>
        <v>0</v>
      </c>
      <c r="X20" s="441"/>
      <c r="Y20" s="49"/>
      <c r="Z20" s="21"/>
      <c r="AA20" s="22"/>
    </row>
    <row r="21" spans="1:27" ht="12.75" customHeight="1">
      <c r="A21" s="3">
        <v>5</v>
      </c>
      <c r="B21" s="13" t="s">
        <v>28</v>
      </c>
      <c r="C21" s="40" t="s">
        <v>16</v>
      </c>
      <c r="D21" s="219">
        <f aca="true" t="shared" si="12" ref="D21:K21">D20-D23</f>
        <v>0</v>
      </c>
      <c r="E21" s="214">
        <f t="shared" si="12"/>
        <v>0</v>
      </c>
      <c r="F21" s="219">
        <f t="shared" si="12"/>
        <v>0</v>
      </c>
      <c r="G21" s="214">
        <f t="shared" si="12"/>
        <v>0</v>
      </c>
      <c r="H21" s="214">
        <f>H20-H23</f>
        <v>0</v>
      </c>
      <c r="I21" s="219">
        <f t="shared" si="12"/>
        <v>0</v>
      </c>
      <c r="J21" s="214">
        <f t="shared" si="6"/>
        <v>0</v>
      </c>
      <c r="K21" s="214">
        <f t="shared" si="12"/>
        <v>0</v>
      </c>
      <c r="L21" s="214"/>
      <c r="M21" s="216">
        <f>M20-M23</f>
        <v>0</v>
      </c>
      <c r="N21" s="214"/>
      <c r="O21" s="214">
        <f t="shared" si="8"/>
        <v>0</v>
      </c>
      <c r="P21" s="223">
        <f>N21-L21</f>
        <v>0</v>
      </c>
      <c r="Q21" s="223"/>
      <c r="R21" s="15">
        <v>0</v>
      </c>
      <c r="S21" s="16">
        <f t="shared" si="3"/>
        <v>-100</v>
      </c>
      <c r="T21" s="15">
        <v>0</v>
      </c>
      <c r="U21" s="17">
        <f t="shared" si="9"/>
        <v>-100</v>
      </c>
      <c r="V21" s="17">
        <f t="shared" si="4"/>
        <v>-100</v>
      </c>
      <c r="W21" s="16">
        <f t="shared" si="5"/>
        <v>0</v>
      </c>
      <c r="X21" s="441"/>
      <c r="Y21" s="49"/>
      <c r="Z21" s="21"/>
      <c r="AA21" s="22"/>
    </row>
    <row r="22" spans="1:27" ht="12.75" customHeight="1">
      <c r="A22" s="12"/>
      <c r="B22" s="13" t="s">
        <v>28</v>
      </c>
      <c r="C22" s="40" t="s">
        <v>26</v>
      </c>
      <c r="D22" s="219">
        <f aca="true" t="shared" si="13" ref="D22:K22">D21/(D20+1E-144)*100</f>
        <v>0</v>
      </c>
      <c r="E22" s="214">
        <f t="shared" si="13"/>
        <v>0</v>
      </c>
      <c r="F22" s="219">
        <f t="shared" si="13"/>
        <v>0</v>
      </c>
      <c r="G22" s="214">
        <f t="shared" si="13"/>
        <v>0</v>
      </c>
      <c r="H22" s="214">
        <f>H21/(H20+1E-144)*100</f>
        <v>0</v>
      </c>
      <c r="I22" s="219">
        <f t="shared" si="13"/>
        <v>0</v>
      </c>
      <c r="J22" s="214">
        <f t="shared" si="6"/>
        <v>0</v>
      </c>
      <c r="K22" s="214">
        <f t="shared" si="13"/>
        <v>0</v>
      </c>
      <c r="L22" s="214"/>
      <c r="M22" s="216">
        <f>M21/(M20+1E-144)*100</f>
        <v>0</v>
      </c>
      <c r="N22" s="214"/>
      <c r="O22" s="214">
        <f t="shared" si="8"/>
        <v>0</v>
      </c>
      <c r="P22" s="223"/>
      <c r="Q22" s="223"/>
      <c r="R22" s="20">
        <f>R21/(R20+1E-144)*100</f>
        <v>0</v>
      </c>
      <c r="S22" s="16">
        <f t="shared" si="3"/>
        <v>-100</v>
      </c>
      <c r="T22" s="20">
        <f>T21/(T20+1E-144)*100</f>
        <v>0</v>
      </c>
      <c r="U22" s="17">
        <f t="shared" si="9"/>
        <v>-100</v>
      </c>
      <c r="V22" s="17">
        <f t="shared" si="4"/>
        <v>-100</v>
      </c>
      <c r="W22" s="16">
        <f t="shared" si="5"/>
        <v>0</v>
      </c>
      <c r="X22" s="442"/>
      <c r="Y22" s="49"/>
      <c r="Z22" s="21"/>
      <c r="AA22" s="22"/>
    </row>
    <row r="23" spans="1:27" ht="16.5" customHeight="1">
      <c r="A23" s="51">
        <v>6</v>
      </c>
      <c r="B23" s="52" t="s">
        <v>29</v>
      </c>
      <c r="C23" s="163" t="s">
        <v>16</v>
      </c>
      <c r="D23" s="216">
        <f>C183</f>
        <v>0</v>
      </c>
      <c r="E23" s="216">
        <f>D183</f>
        <v>0</v>
      </c>
      <c r="F23" s="216">
        <f>F183</f>
        <v>0</v>
      </c>
      <c r="G23" s="216">
        <f>G183</f>
        <v>0</v>
      </c>
      <c r="H23" s="219">
        <v>181.2</v>
      </c>
      <c r="I23" s="216">
        <f>H23</f>
        <v>181.2</v>
      </c>
      <c r="J23" s="336">
        <f t="shared" si="6"/>
        <v>0</v>
      </c>
      <c r="K23" s="219">
        <v>181.2</v>
      </c>
      <c r="L23" s="337">
        <f>K23/H23*100-100</f>
        <v>0</v>
      </c>
      <c r="M23" s="337">
        <f>I23</f>
        <v>181.2</v>
      </c>
      <c r="N23" s="337">
        <f t="shared" si="7"/>
        <v>0</v>
      </c>
      <c r="O23" s="336">
        <f t="shared" si="8"/>
        <v>0</v>
      </c>
      <c r="P23" s="216">
        <f>N23-L23</f>
        <v>0</v>
      </c>
      <c r="Q23" s="216"/>
      <c r="R23" s="164">
        <f>L183</f>
        <v>0</v>
      </c>
      <c r="S23" s="164">
        <f t="shared" si="3"/>
        <v>-100</v>
      </c>
      <c r="T23" s="164">
        <f>R23</f>
        <v>0</v>
      </c>
      <c r="U23" s="54">
        <f t="shared" si="9"/>
        <v>-100</v>
      </c>
      <c r="V23" s="54">
        <f t="shared" si="4"/>
        <v>-100</v>
      </c>
      <c r="W23" s="55">
        <f t="shared" si="5"/>
        <v>0</v>
      </c>
      <c r="X23" s="54"/>
      <c r="Y23" s="49"/>
      <c r="Z23" s="21"/>
      <c r="AA23" s="22"/>
    </row>
    <row r="24" spans="1:27" ht="12" customHeight="1">
      <c r="A24" s="305">
        <v>7</v>
      </c>
      <c r="B24" s="4" t="s">
        <v>30</v>
      </c>
      <c r="C24" s="40"/>
      <c r="D24" s="219"/>
      <c r="E24" s="214"/>
      <c r="F24" s="219"/>
      <c r="G24" s="214"/>
      <c r="H24" s="214"/>
      <c r="I24" s="219"/>
      <c r="J24" s="214">
        <f t="shared" si="6"/>
        <v>0</v>
      </c>
      <c r="K24" s="214"/>
      <c r="L24" s="214"/>
      <c r="M24" s="337"/>
      <c r="N24" s="214"/>
      <c r="O24" s="214">
        <f t="shared" si="8"/>
        <v>0</v>
      </c>
      <c r="P24" s="223"/>
      <c r="Q24" s="223"/>
      <c r="R24" s="306"/>
      <c r="S24" s="307"/>
      <c r="T24" s="306"/>
      <c r="U24" s="308"/>
      <c r="V24" s="308"/>
      <c r="W24" s="309"/>
      <c r="X24" s="307"/>
      <c r="Y24" s="49"/>
      <c r="Z24" s="21"/>
      <c r="AA24" s="22"/>
    </row>
    <row r="25" spans="1:27" ht="12" customHeight="1">
      <c r="A25" s="305"/>
      <c r="B25" s="333" t="s">
        <v>213</v>
      </c>
      <c r="C25" s="334" t="s">
        <v>42</v>
      </c>
      <c r="D25" s="219"/>
      <c r="E25" s="214"/>
      <c r="F25" s="219"/>
      <c r="G25" s="214"/>
      <c r="H25" s="214"/>
      <c r="I25" s="219"/>
      <c r="J25" s="214">
        <f t="shared" si="6"/>
        <v>0</v>
      </c>
      <c r="K25" s="214"/>
      <c r="L25" s="214"/>
      <c r="M25" s="337"/>
      <c r="N25" s="214"/>
      <c r="O25" s="214">
        <f t="shared" si="8"/>
        <v>0</v>
      </c>
      <c r="P25" s="223"/>
      <c r="Q25" s="223"/>
      <c r="R25" s="306"/>
      <c r="S25" s="307"/>
      <c r="T25" s="306"/>
      <c r="U25" s="308"/>
      <c r="V25" s="308"/>
      <c r="W25" s="309"/>
      <c r="X25" s="307"/>
      <c r="Y25" s="49"/>
      <c r="Z25" s="21"/>
      <c r="AA25" s="22"/>
    </row>
    <row r="26" spans="1:27" ht="12" customHeight="1">
      <c r="A26" s="305"/>
      <c r="B26" s="333" t="s">
        <v>214</v>
      </c>
      <c r="C26" s="334" t="s">
        <v>215</v>
      </c>
      <c r="D26" s="219"/>
      <c r="E26" s="214"/>
      <c r="F26" s="219"/>
      <c r="G26" s="214"/>
      <c r="H26" s="214"/>
      <c r="I26" s="219"/>
      <c r="J26" s="214">
        <f t="shared" si="6"/>
        <v>0</v>
      </c>
      <c r="K26" s="214"/>
      <c r="L26" s="214"/>
      <c r="M26" s="337"/>
      <c r="N26" s="214"/>
      <c r="O26" s="214">
        <f t="shared" si="8"/>
        <v>0</v>
      </c>
      <c r="P26" s="223"/>
      <c r="Q26" s="223"/>
      <c r="R26" s="306"/>
      <c r="S26" s="307"/>
      <c r="T26" s="306"/>
      <c r="U26" s="308"/>
      <c r="V26" s="308"/>
      <c r="W26" s="309"/>
      <c r="X26" s="307"/>
      <c r="Y26" s="49"/>
      <c r="Z26" s="21"/>
      <c r="AA26" s="22"/>
    </row>
    <row r="27" spans="1:27" ht="12" customHeight="1">
      <c r="A27" s="310" t="s">
        <v>31</v>
      </c>
      <c r="B27" s="4" t="s">
        <v>32</v>
      </c>
      <c r="C27" s="40"/>
      <c r="D27" s="219"/>
      <c r="E27" s="214"/>
      <c r="F27" s="219"/>
      <c r="G27" s="214"/>
      <c r="H27" s="214"/>
      <c r="I27" s="219"/>
      <c r="J27" s="214">
        <f t="shared" si="6"/>
        <v>0</v>
      </c>
      <c r="K27" s="214"/>
      <c r="L27" s="214"/>
      <c r="M27" s="337"/>
      <c r="N27" s="214"/>
      <c r="O27" s="214">
        <f t="shared" si="8"/>
        <v>0</v>
      </c>
      <c r="P27" s="223"/>
      <c r="Q27" s="223"/>
      <c r="R27" s="306"/>
      <c r="S27" s="307"/>
      <c r="T27" s="306"/>
      <c r="U27" s="308"/>
      <c r="V27" s="308"/>
      <c r="W27" s="309"/>
      <c r="X27" s="307"/>
      <c r="Y27" s="49"/>
      <c r="Z27" s="21"/>
      <c r="AA27" s="22"/>
    </row>
    <row r="28" spans="1:27" ht="12" customHeight="1">
      <c r="A28" s="12"/>
      <c r="B28" s="27" t="s">
        <v>33</v>
      </c>
      <c r="C28" s="40" t="s">
        <v>34</v>
      </c>
      <c r="D28" s="236"/>
      <c r="E28" s="214">
        <f>E30*1000*E29/(E9+1E-94)</f>
        <v>0</v>
      </c>
      <c r="F28" s="141"/>
      <c r="G28" s="214">
        <f>G30*1000*G29/(G9+1E-94)</f>
        <v>0</v>
      </c>
      <c r="H28" s="229">
        <v>157</v>
      </c>
      <c r="I28" s="220">
        <v>155</v>
      </c>
      <c r="J28" s="214">
        <f t="shared" si="6"/>
        <v>-2</v>
      </c>
      <c r="K28" s="229">
        <f>H28</f>
        <v>157</v>
      </c>
      <c r="L28" s="214">
        <f>K28/H28*100-100</f>
        <v>0</v>
      </c>
      <c r="M28" s="337">
        <f>I28</f>
        <v>155</v>
      </c>
      <c r="N28" s="214">
        <f t="shared" si="7"/>
        <v>0</v>
      </c>
      <c r="O28" s="214">
        <f t="shared" si="8"/>
        <v>-2</v>
      </c>
      <c r="P28" s="223">
        <f>N28-L28</f>
        <v>0</v>
      </c>
      <c r="Q28" s="217"/>
      <c r="R28" s="252">
        <f>F28</f>
        <v>0</v>
      </c>
      <c r="S28" s="253">
        <f>R28/(F28+1E-106)*100-100</f>
        <v>-100</v>
      </c>
      <c r="T28" s="252">
        <f>R28</f>
        <v>0</v>
      </c>
      <c r="U28" s="253">
        <f t="shared" si="9"/>
        <v>-100</v>
      </c>
      <c r="V28" s="253">
        <f>T28/(F28+1E-106)*100-100</f>
        <v>-100</v>
      </c>
      <c r="W28" s="253">
        <f>T28-L28</f>
        <v>0</v>
      </c>
      <c r="X28" s="250"/>
      <c r="Y28" s="49"/>
      <c r="Z28" s="21"/>
      <c r="AA28" s="22"/>
    </row>
    <row r="29" spans="1:27" ht="12" customHeight="1">
      <c r="A29" s="12"/>
      <c r="B29" s="27" t="s">
        <v>35</v>
      </c>
      <c r="C29" s="130"/>
      <c r="D29" s="141"/>
      <c r="E29" s="229"/>
      <c r="F29" s="141"/>
      <c r="G29" s="229"/>
      <c r="H29" s="343">
        <v>1.129</v>
      </c>
      <c r="I29" s="390">
        <v>1.129</v>
      </c>
      <c r="J29" s="214">
        <f t="shared" si="6"/>
        <v>0</v>
      </c>
      <c r="K29" s="343">
        <v>1.129</v>
      </c>
      <c r="L29" s="214">
        <f>K29/H29*100-100</f>
        <v>0</v>
      </c>
      <c r="M29" s="392">
        <f>I29</f>
        <v>1.129</v>
      </c>
      <c r="N29" s="214">
        <f t="shared" si="7"/>
        <v>0</v>
      </c>
      <c r="O29" s="214">
        <f t="shared" si="8"/>
        <v>0</v>
      </c>
      <c r="P29" s="223"/>
      <c r="Q29" s="217"/>
      <c r="R29" s="252">
        <f>F29</f>
        <v>0</v>
      </c>
      <c r="S29" s="253">
        <f>R29/(F29+1E-106)*100-100</f>
        <v>-100</v>
      </c>
      <c r="T29" s="252">
        <f>R29</f>
        <v>0</v>
      </c>
      <c r="U29" s="253">
        <f t="shared" si="9"/>
        <v>-100</v>
      </c>
      <c r="V29" s="253">
        <f>T29/(F29+1E-106)*100-100</f>
        <v>-100</v>
      </c>
      <c r="W29" s="253">
        <f>T29-L29</f>
        <v>0</v>
      </c>
      <c r="X29" s="254"/>
      <c r="Y29" s="49"/>
      <c r="Z29" s="21"/>
      <c r="AA29" s="22"/>
    </row>
    <row r="30" spans="1:27" ht="12" customHeight="1">
      <c r="A30" s="12"/>
      <c r="B30" s="13" t="s">
        <v>36</v>
      </c>
      <c r="C30" s="40" t="s">
        <v>37</v>
      </c>
      <c r="D30" s="219">
        <f>D28/(D29+1E-97)*D9/1000</f>
        <v>0</v>
      </c>
      <c r="E30" s="229"/>
      <c r="F30" s="219">
        <f>F28/(F29+1E-97)*F9/1000</f>
        <v>0</v>
      </c>
      <c r="G30" s="229"/>
      <c r="H30" s="214">
        <f>K30</f>
        <v>25.25571900054617</v>
      </c>
      <c r="I30" s="216">
        <f>I28/(I29+1E-97)*I9/1000</f>
        <v>25.25571900054617</v>
      </c>
      <c r="J30" s="214">
        <f t="shared" si="6"/>
        <v>0</v>
      </c>
      <c r="K30" s="401">
        <f>M30</f>
        <v>25.25571900054617</v>
      </c>
      <c r="L30" s="214">
        <f>K30/H30*100-100</f>
        <v>0</v>
      </c>
      <c r="M30" s="216">
        <f>M28/(M29+1E-97)*M9/1000</f>
        <v>25.25571900054617</v>
      </c>
      <c r="N30" s="214">
        <f t="shared" si="7"/>
        <v>0</v>
      </c>
      <c r="O30" s="214">
        <f t="shared" si="8"/>
        <v>0</v>
      </c>
      <c r="P30" s="223">
        <f aca="true" t="shared" si="14" ref="P30:P44">N30-L30</f>
        <v>0</v>
      </c>
      <c r="Q30" s="223"/>
      <c r="R30" s="32">
        <f>R28/(R29+1E-97)*R9/1000</f>
        <v>0</v>
      </c>
      <c r="S30" s="29">
        <f>R30/(F30+1E-106)*100-100</f>
        <v>-100</v>
      </c>
      <c r="T30" s="32">
        <f>T28/(T29+1E-97)*T9/1000</f>
        <v>0</v>
      </c>
      <c r="U30" s="29">
        <f t="shared" si="9"/>
        <v>-100</v>
      </c>
      <c r="V30" s="29">
        <f>T30/(F30+1E-106)*100-100</f>
        <v>-100</v>
      </c>
      <c r="W30" s="29">
        <f>T30-L30</f>
        <v>0</v>
      </c>
      <c r="X30" s="31"/>
      <c r="Y30" s="49"/>
      <c r="Z30" s="21"/>
      <c r="AA30" s="22"/>
    </row>
    <row r="31" spans="1:27" s="33" customFormat="1" ht="12" customHeight="1">
      <c r="A31" s="3"/>
      <c r="B31" s="4" t="s">
        <v>38</v>
      </c>
      <c r="C31" s="40" t="s">
        <v>39</v>
      </c>
      <c r="D31" s="220"/>
      <c r="E31" s="224">
        <f>E104/(E30+1E-103)*1000</f>
        <v>0</v>
      </c>
      <c r="F31" s="220"/>
      <c r="G31" s="224">
        <f>G104/(G30+1E-103)*1000</f>
        <v>0</v>
      </c>
      <c r="H31" s="401">
        <f>I31</f>
        <v>4264.0008</v>
      </c>
      <c r="I31" s="220">
        <f>1.18*3613.56</f>
        <v>4264.0008</v>
      </c>
      <c r="J31" s="214">
        <f t="shared" si="6"/>
        <v>0</v>
      </c>
      <c r="K31" s="401">
        <f>M31</f>
        <v>4903.600919999999</v>
      </c>
      <c r="L31" s="214">
        <f>K31/H31*100-100</f>
        <v>14.999999999999986</v>
      </c>
      <c r="M31" s="337">
        <f>I31*1.15</f>
        <v>4903.600919999999</v>
      </c>
      <c r="N31" s="214">
        <f t="shared" si="7"/>
        <v>14.999999999999986</v>
      </c>
      <c r="O31" s="214">
        <f t="shared" si="8"/>
        <v>0</v>
      </c>
      <c r="P31" s="227">
        <f t="shared" si="14"/>
        <v>0</v>
      </c>
      <c r="Q31" s="227"/>
      <c r="R31" s="25"/>
      <c r="S31" s="7">
        <f>R31/(F31+1E-106)*100-100</f>
        <v>-100</v>
      </c>
      <c r="T31" s="25"/>
      <c r="U31" s="7">
        <f t="shared" si="9"/>
        <v>-100</v>
      </c>
      <c r="V31" s="7">
        <f>T31/(F31+1E-106)*100-100</f>
        <v>-100</v>
      </c>
      <c r="W31" s="7">
        <f>T31-L31</f>
        <v>-14.999999999999986</v>
      </c>
      <c r="X31" s="395" t="s">
        <v>226</v>
      </c>
      <c r="Y31" s="50"/>
      <c r="AA31" s="34"/>
    </row>
    <row r="32" spans="1:27" ht="12" customHeight="1">
      <c r="A32" s="12"/>
      <c r="B32" s="35" t="s">
        <v>40</v>
      </c>
      <c r="C32" s="40" t="s">
        <v>39</v>
      </c>
      <c r="D32" s="141"/>
      <c r="E32" s="229"/>
      <c r="F32" s="141"/>
      <c r="G32" s="229"/>
      <c r="H32" s="229">
        <f>I32</f>
        <v>512.6</v>
      </c>
      <c r="I32" s="337">
        <f>512.6</f>
        <v>512.6</v>
      </c>
      <c r="J32" s="214">
        <f t="shared" si="6"/>
        <v>0</v>
      </c>
      <c r="K32" s="229">
        <f>M32</f>
        <v>589.49</v>
      </c>
      <c r="L32" s="214">
        <f>K32/H32*100-100</f>
        <v>14.999999999999986</v>
      </c>
      <c r="M32" s="337">
        <f>512.6*1.15</f>
        <v>589.49</v>
      </c>
      <c r="N32" s="214">
        <f t="shared" si="7"/>
        <v>14.999999999999986</v>
      </c>
      <c r="O32" s="214">
        <f t="shared" si="8"/>
        <v>0</v>
      </c>
      <c r="P32" s="223">
        <f t="shared" si="14"/>
        <v>0</v>
      </c>
      <c r="Q32" s="223"/>
      <c r="R32" s="28"/>
      <c r="S32" s="29">
        <f>R32/(F32+1E-106)*100-100</f>
        <v>-100</v>
      </c>
      <c r="T32" s="28"/>
      <c r="U32" s="29">
        <f t="shared" si="9"/>
        <v>-100</v>
      </c>
      <c r="V32" s="29">
        <f>T32/(F32+1E-106)*100-100</f>
        <v>-100</v>
      </c>
      <c r="W32" s="29">
        <f>T32-L32</f>
        <v>-14.999999999999986</v>
      </c>
      <c r="X32" s="16"/>
      <c r="Y32" s="49"/>
      <c r="Z32" s="21"/>
      <c r="AA32" s="22"/>
    </row>
    <row r="33" spans="1:27" ht="12" customHeight="1" hidden="1">
      <c r="A33" s="310" t="s">
        <v>31</v>
      </c>
      <c r="B33" s="4" t="s">
        <v>41</v>
      </c>
      <c r="C33" s="40"/>
      <c r="D33" s="219"/>
      <c r="E33" s="214"/>
      <c r="F33" s="219"/>
      <c r="G33" s="214"/>
      <c r="H33" s="214"/>
      <c r="I33" s="216"/>
      <c r="J33" s="214">
        <f t="shared" si="6"/>
        <v>0</v>
      </c>
      <c r="K33" s="214"/>
      <c r="L33" s="214"/>
      <c r="M33" s="337"/>
      <c r="N33" s="214" t="e">
        <f t="shared" si="7"/>
        <v>#DIV/0!</v>
      </c>
      <c r="O33" s="214">
        <f t="shared" si="8"/>
        <v>0</v>
      </c>
      <c r="P33" s="223"/>
      <c r="Q33" s="223"/>
      <c r="R33" s="28"/>
      <c r="S33" s="29"/>
      <c r="T33" s="28"/>
      <c r="U33" s="29"/>
      <c r="V33" s="29"/>
      <c r="W33" s="29"/>
      <c r="X33" s="16"/>
      <c r="Y33" s="49"/>
      <c r="Z33" s="21"/>
      <c r="AA33" s="22"/>
    </row>
    <row r="34" spans="1:27" ht="12" customHeight="1" hidden="1">
      <c r="A34" s="12"/>
      <c r="B34" s="27" t="s">
        <v>33</v>
      </c>
      <c r="C34" s="40" t="s">
        <v>34</v>
      </c>
      <c r="D34" s="141"/>
      <c r="E34" s="214">
        <f>E36*1000*E35/(E10+1E-99)</f>
        <v>0</v>
      </c>
      <c r="F34" s="141"/>
      <c r="G34" s="214">
        <f>G36*1000*G35/(G10+1E-99)</f>
        <v>0</v>
      </c>
      <c r="H34" s="401"/>
      <c r="I34" s="220"/>
      <c r="J34" s="214">
        <f t="shared" si="6"/>
        <v>0</v>
      </c>
      <c r="K34" s="401"/>
      <c r="L34" s="214"/>
      <c r="M34" s="337">
        <f>L34/(I34+1E-133)*100-100</f>
        <v>-100</v>
      </c>
      <c r="N34" s="214" t="e">
        <f t="shared" si="7"/>
        <v>#DIV/0!</v>
      </c>
      <c r="O34" s="214">
        <f t="shared" si="8"/>
        <v>-100</v>
      </c>
      <c r="P34" s="223" t="e">
        <f t="shared" si="14"/>
        <v>#DIV/0!</v>
      </c>
      <c r="Q34" s="223"/>
      <c r="R34" s="28"/>
      <c r="S34" s="29">
        <f>R34/(F34+1E-106)*100-100</f>
        <v>-100</v>
      </c>
      <c r="T34" s="28"/>
      <c r="U34" s="29">
        <f t="shared" si="9"/>
        <v>-100</v>
      </c>
      <c r="V34" s="29">
        <f>T34/(F34+1E-106)*100-100</f>
        <v>-100</v>
      </c>
      <c r="W34" s="29">
        <f>T34-L34</f>
        <v>0</v>
      </c>
      <c r="X34" s="16"/>
      <c r="Y34" s="49"/>
      <c r="Z34" s="21"/>
      <c r="AA34" s="22"/>
    </row>
    <row r="35" spans="1:27" ht="12" customHeight="1" hidden="1">
      <c r="A35" s="12"/>
      <c r="B35" s="27" t="s">
        <v>35</v>
      </c>
      <c r="C35" s="40"/>
      <c r="D35" s="141"/>
      <c r="E35" s="229"/>
      <c r="F35" s="141"/>
      <c r="G35" s="229"/>
      <c r="H35" s="229"/>
      <c r="I35" s="220"/>
      <c r="J35" s="214">
        <f t="shared" si="6"/>
        <v>0</v>
      </c>
      <c r="K35" s="229"/>
      <c r="L35" s="214"/>
      <c r="M35" s="337">
        <f>L35/(I35+1E-133)*100-100</f>
        <v>-100</v>
      </c>
      <c r="N35" s="214" t="e">
        <f t="shared" si="7"/>
        <v>#DIV/0!</v>
      </c>
      <c r="O35" s="214">
        <f t="shared" si="8"/>
        <v>-100</v>
      </c>
      <c r="P35" s="223" t="e">
        <f t="shared" si="14"/>
        <v>#DIV/0!</v>
      </c>
      <c r="Q35" s="223"/>
      <c r="R35" s="28"/>
      <c r="S35" s="29">
        <f>R35/(F35+1E-106)*100-100</f>
        <v>-100</v>
      </c>
      <c r="T35" s="28"/>
      <c r="U35" s="29">
        <f t="shared" si="9"/>
        <v>-100</v>
      </c>
      <c r="V35" s="29">
        <f>T35/(F35+1E-106)*100-100</f>
        <v>-100</v>
      </c>
      <c r="W35" s="29">
        <f>T35-L35</f>
        <v>0</v>
      </c>
      <c r="X35" s="16"/>
      <c r="Y35" s="49"/>
      <c r="Z35" s="21"/>
      <c r="AA35" s="22"/>
    </row>
    <row r="36" spans="1:27" ht="12" customHeight="1" hidden="1">
      <c r="A36" s="12"/>
      <c r="B36" s="13" t="s">
        <v>36</v>
      </c>
      <c r="C36" s="40" t="s">
        <v>42</v>
      </c>
      <c r="D36" s="219">
        <f>D34/(D35+1E-100)*D10/1000</f>
        <v>0</v>
      </c>
      <c r="E36" s="229"/>
      <c r="F36" s="219">
        <f>F34/(F35+1E-100)*F10/1000</f>
        <v>0</v>
      </c>
      <c r="G36" s="229"/>
      <c r="H36" s="401"/>
      <c r="I36" s="216">
        <f>I34/(I35+1E-100)*I10/1000</f>
        <v>0</v>
      </c>
      <c r="J36" s="214">
        <f t="shared" si="6"/>
        <v>0</v>
      </c>
      <c r="K36" s="401"/>
      <c r="L36" s="214"/>
      <c r="M36" s="337">
        <f>L36/(I36+1E-133)*100-100</f>
        <v>-100</v>
      </c>
      <c r="N36" s="214" t="e">
        <f t="shared" si="7"/>
        <v>#DIV/0!</v>
      </c>
      <c r="O36" s="214">
        <f t="shared" si="8"/>
        <v>-100</v>
      </c>
      <c r="P36" s="223" t="e">
        <f t="shared" si="14"/>
        <v>#DIV/0!</v>
      </c>
      <c r="Q36" s="223"/>
      <c r="R36" s="28">
        <f>R34/(R35+1E-100)*R10/1000</f>
        <v>0</v>
      </c>
      <c r="S36" s="29">
        <f>R36/(F36+1E-106)*100-100</f>
        <v>-100</v>
      </c>
      <c r="T36" s="28">
        <f>T34/(T35+1E-100)*T10/1000</f>
        <v>0</v>
      </c>
      <c r="U36" s="29">
        <f t="shared" si="9"/>
        <v>-100</v>
      </c>
      <c r="V36" s="29">
        <f>T36/(F36+1E-106)*100-100</f>
        <v>-100</v>
      </c>
      <c r="W36" s="29">
        <f>T36-L36</f>
        <v>0</v>
      </c>
      <c r="X36" s="16"/>
      <c r="Y36" s="49"/>
      <c r="Z36" s="21"/>
      <c r="AA36" s="22"/>
    </row>
    <row r="37" spans="1:27" s="33" customFormat="1" ht="12" customHeight="1" hidden="1">
      <c r="A37" s="3"/>
      <c r="B37" s="4" t="s">
        <v>38</v>
      </c>
      <c r="C37" s="40" t="s">
        <v>43</v>
      </c>
      <c r="D37" s="220"/>
      <c r="E37" s="224">
        <f>E105/(E36+1E-102)*1000</f>
        <v>0</v>
      </c>
      <c r="F37" s="220"/>
      <c r="G37" s="224">
        <f>G105/(G36+1E-102)*1000</f>
        <v>0</v>
      </c>
      <c r="H37" s="401"/>
      <c r="I37" s="220"/>
      <c r="J37" s="214">
        <f t="shared" si="6"/>
        <v>0</v>
      </c>
      <c r="K37" s="401"/>
      <c r="L37" s="214"/>
      <c r="M37" s="337">
        <f>L37/(I37+1E-133)*100-100</f>
        <v>-100</v>
      </c>
      <c r="N37" s="214" t="e">
        <f t="shared" si="7"/>
        <v>#DIV/0!</v>
      </c>
      <c r="O37" s="214">
        <f t="shared" si="8"/>
        <v>-100</v>
      </c>
      <c r="P37" s="227" t="e">
        <f t="shared" si="14"/>
        <v>#DIV/0!</v>
      </c>
      <c r="Q37" s="227"/>
      <c r="R37" s="25"/>
      <c r="S37" s="7">
        <f>R37/(F37+1E-106)*100-100</f>
        <v>-100</v>
      </c>
      <c r="T37" s="25"/>
      <c r="U37" s="7">
        <f t="shared" si="9"/>
        <v>-100</v>
      </c>
      <c r="V37" s="7">
        <f>T37/(F37+1E-106)*100-100</f>
        <v>-100</v>
      </c>
      <c r="W37" s="7">
        <f>T37-L37</f>
        <v>0</v>
      </c>
      <c r="X37" s="9"/>
      <c r="Y37" s="50"/>
      <c r="AA37" s="34"/>
    </row>
    <row r="38" spans="1:27" ht="12" customHeight="1" hidden="1">
      <c r="A38" s="12"/>
      <c r="B38" s="35" t="s">
        <v>40</v>
      </c>
      <c r="C38" s="40" t="s">
        <v>43</v>
      </c>
      <c r="D38" s="141"/>
      <c r="E38" s="229"/>
      <c r="F38" s="141"/>
      <c r="G38" s="229"/>
      <c r="H38" s="229"/>
      <c r="I38" s="220"/>
      <c r="J38" s="214">
        <f t="shared" si="6"/>
        <v>0</v>
      </c>
      <c r="K38" s="229"/>
      <c r="L38" s="214"/>
      <c r="M38" s="337">
        <f>L38/(I38+1E-133)*100-100</f>
        <v>-100</v>
      </c>
      <c r="N38" s="214" t="e">
        <f t="shared" si="7"/>
        <v>#DIV/0!</v>
      </c>
      <c r="O38" s="214">
        <f t="shared" si="8"/>
        <v>-100</v>
      </c>
      <c r="P38" s="223" t="e">
        <f t="shared" si="14"/>
        <v>#DIV/0!</v>
      </c>
      <c r="Q38" s="223"/>
      <c r="R38" s="28"/>
      <c r="S38" s="29">
        <f>R38/(F38+1E-106)*100-100</f>
        <v>-100</v>
      </c>
      <c r="T38" s="28"/>
      <c r="U38" s="29">
        <f t="shared" si="9"/>
        <v>-100</v>
      </c>
      <c r="V38" s="29">
        <f>T38/(F38+1E-106)*100-100</f>
        <v>-100</v>
      </c>
      <c r="W38" s="29">
        <f>T38-L38</f>
        <v>0</v>
      </c>
      <c r="X38" s="16"/>
      <c r="Y38" s="49"/>
      <c r="Z38" s="21"/>
      <c r="AA38" s="22"/>
    </row>
    <row r="39" spans="1:27" ht="12" customHeight="1" hidden="1">
      <c r="A39" s="310" t="s">
        <v>31</v>
      </c>
      <c r="B39" s="4" t="s">
        <v>44</v>
      </c>
      <c r="C39" s="40"/>
      <c r="D39" s="219"/>
      <c r="E39" s="214"/>
      <c r="F39" s="219"/>
      <c r="G39" s="214"/>
      <c r="H39" s="214"/>
      <c r="I39" s="216"/>
      <c r="J39" s="214">
        <f t="shared" si="6"/>
        <v>0</v>
      </c>
      <c r="K39" s="214"/>
      <c r="L39" s="214"/>
      <c r="M39" s="337"/>
      <c r="N39" s="214" t="e">
        <f t="shared" si="7"/>
        <v>#DIV/0!</v>
      </c>
      <c r="O39" s="214">
        <f t="shared" si="8"/>
        <v>0</v>
      </c>
      <c r="P39" s="223"/>
      <c r="Q39" s="223"/>
      <c r="R39" s="28"/>
      <c r="S39" s="29"/>
      <c r="T39" s="28"/>
      <c r="U39" s="29"/>
      <c r="V39" s="29"/>
      <c r="W39" s="29"/>
      <c r="X39" s="16"/>
      <c r="Y39" s="49"/>
      <c r="Z39" s="21"/>
      <c r="AA39" s="22"/>
    </row>
    <row r="40" spans="1:27" ht="12" customHeight="1" hidden="1">
      <c r="A40" s="12"/>
      <c r="B40" s="27" t="s">
        <v>33</v>
      </c>
      <c r="C40" s="40" t="s">
        <v>34</v>
      </c>
      <c r="D40" s="141"/>
      <c r="E40" s="214">
        <f>E42*1000*E41/(E11+1E-97)</f>
        <v>0</v>
      </c>
      <c r="F40" s="141"/>
      <c r="G40" s="214">
        <f>G42*1000*G41/(G11+1E-97)</f>
        <v>0</v>
      </c>
      <c r="H40" s="401"/>
      <c r="I40" s="220"/>
      <c r="J40" s="214">
        <f t="shared" si="6"/>
        <v>0</v>
      </c>
      <c r="K40" s="401"/>
      <c r="L40" s="214"/>
      <c r="M40" s="337">
        <f>L40/(I40+1E-133)*100-100</f>
        <v>-100</v>
      </c>
      <c r="N40" s="214" t="e">
        <f t="shared" si="7"/>
        <v>#DIV/0!</v>
      </c>
      <c r="O40" s="214">
        <f t="shared" si="8"/>
        <v>-100</v>
      </c>
      <c r="P40" s="223" t="e">
        <f t="shared" si="14"/>
        <v>#DIV/0!</v>
      </c>
      <c r="Q40" s="223"/>
      <c r="R40" s="28"/>
      <c r="S40" s="29">
        <f>R40/(F40+1E-106)*100-100</f>
        <v>-100</v>
      </c>
      <c r="T40" s="28"/>
      <c r="U40" s="29">
        <f t="shared" si="9"/>
        <v>-100</v>
      </c>
      <c r="V40" s="29">
        <f>T40/(F40+1E-106)*100-100</f>
        <v>-100</v>
      </c>
      <c r="W40" s="29">
        <f>T40-L40</f>
        <v>0</v>
      </c>
      <c r="X40" s="16"/>
      <c r="Y40" s="49"/>
      <c r="Z40" s="21"/>
      <c r="AA40" s="22"/>
    </row>
    <row r="41" spans="1:27" ht="12" customHeight="1" hidden="1">
      <c r="A41" s="12"/>
      <c r="B41" s="27" t="s">
        <v>35</v>
      </c>
      <c r="C41" s="40"/>
      <c r="D41" s="141"/>
      <c r="E41" s="229"/>
      <c r="F41" s="141"/>
      <c r="G41" s="229"/>
      <c r="H41" s="401"/>
      <c r="I41" s="220"/>
      <c r="J41" s="214">
        <f t="shared" si="6"/>
        <v>0</v>
      </c>
      <c r="K41" s="401"/>
      <c r="L41" s="214"/>
      <c r="M41" s="337">
        <f>L41/(I41+1E-133)*100-100</f>
        <v>-100</v>
      </c>
      <c r="N41" s="214" t="e">
        <f t="shared" si="7"/>
        <v>#DIV/0!</v>
      </c>
      <c r="O41" s="214">
        <f t="shared" si="8"/>
        <v>-100</v>
      </c>
      <c r="P41" s="223" t="e">
        <f t="shared" si="14"/>
        <v>#DIV/0!</v>
      </c>
      <c r="Q41" s="223"/>
      <c r="R41" s="28"/>
      <c r="S41" s="29">
        <f>R41/(F41+1E-106)*100-100</f>
        <v>-100</v>
      </c>
      <c r="T41" s="28"/>
      <c r="U41" s="29">
        <f t="shared" si="9"/>
        <v>-100</v>
      </c>
      <c r="V41" s="29">
        <f>T41/(F41+1E-106)*100-100</f>
        <v>-100</v>
      </c>
      <c r="W41" s="29">
        <f>T41-L41</f>
        <v>0</v>
      </c>
      <c r="X41" s="16"/>
      <c r="Y41" s="49"/>
      <c r="Z41" s="21"/>
      <c r="AA41" s="22"/>
    </row>
    <row r="42" spans="1:27" ht="12" customHeight="1" hidden="1">
      <c r="A42" s="12"/>
      <c r="B42" s="13" t="s">
        <v>36</v>
      </c>
      <c r="C42" s="40" t="s">
        <v>42</v>
      </c>
      <c r="D42" s="219">
        <f>D40/(D41+1E-102)*D11/1000</f>
        <v>0</v>
      </c>
      <c r="E42" s="229"/>
      <c r="F42" s="219">
        <f>F40/(F41+1E-102)*F11/1000</f>
        <v>0</v>
      </c>
      <c r="G42" s="229"/>
      <c r="H42" s="401"/>
      <c r="I42" s="216">
        <f>I40/(I41+1E-102)*I11/1000</f>
        <v>0</v>
      </c>
      <c r="J42" s="214">
        <f t="shared" si="6"/>
        <v>0</v>
      </c>
      <c r="K42" s="401"/>
      <c r="L42" s="214"/>
      <c r="M42" s="337">
        <f>L42/(I42+1E-133)*100-100</f>
        <v>-100</v>
      </c>
      <c r="N42" s="214" t="e">
        <f t="shared" si="7"/>
        <v>#DIV/0!</v>
      </c>
      <c r="O42" s="214">
        <f t="shared" si="8"/>
        <v>-100</v>
      </c>
      <c r="P42" s="223" t="e">
        <f t="shared" si="14"/>
        <v>#DIV/0!</v>
      </c>
      <c r="Q42" s="223"/>
      <c r="R42" s="28">
        <f>R40/(R41+1E-102)*R11/1000</f>
        <v>0</v>
      </c>
      <c r="S42" s="29">
        <f>R42/(F42+1E-106)*100-100</f>
        <v>-100</v>
      </c>
      <c r="T42" s="28">
        <f>T40/(T41+1E-102)*T11/1000</f>
        <v>0</v>
      </c>
      <c r="U42" s="29">
        <f t="shared" si="9"/>
        <v>-100</v>
      </c>
      <c r="V42" s="29">
        <f>T42/(F42+1E-106)*100-100</f>
        <v>-100</v>
      </c>
      <c r="W42" s="29">
        <f>T42-L42</f>
        <v>0</v>
      </c>
      <c r="X42" s="16"/>
      <c r="Y42" s="49"/>
      <c r="Z42" s="21"/>
      <c r="AA42" s="22"/>
    </row>
    <row r="43" spans="1:27" s="33" customFormat="1" ht="12" customHeight="1" hidden="1">
      <c r="A43" s="3"/>
      <c r="B43" s="4" t="s">
        <v>38</v>
      </c>
      <c r="C43" s="40" t="s">
        <v>43</v>
      </c>
      <c r="D43" s="220"/>
      <c r="E43" s="224">
        <f>E106/(E42+1E-103)*1000</f>
        <v>0</v>
      </c>
      <c r="F43" s="220"/>
      <c r="G43" s="224">
        <f>G106/(G42+1E-103)*1000</f>
        <v>0</v>
      </c>
      <c r="H43" s="401"/>
      <c r="I43" s="220"/>
      <c r="J43" s="214">
        <f t="shared" si="6"/>
        <v>0</v>
      </c>
      <c r="K43" s="401"/>
      <c r="L43" s="214"/>
      <c r="M43" s="337">
        <f>L43/(I43+1E-133)*100-100</f>
        <v>-100</v>
      </c>
      <c r="N43" s="214" t="e">
        <f t="shared" si="7"/>
        <v>#DIV/0!</v>
      </c>
      <c r="O43" s="214">
        <f t="shared" si="8"/>
        <v>-100</v>
      </c>
      <c r="P43" s="227" t="e">
        <f t="shared" si="14"/>
        <v>#DIV/0!</v>
      </c>
      <c r="Q43" s="227"/>
      <c r="R43" s="25"/>
      <c r="S43" s="7">
        <f>R43/(F43+1E-106)*100-100</f>
        <v>-100</v>
      </c>
      <c r="T43" s="25"/>
      <c r="U43" s="7">
        <f t="shared" si="9"/>
        <v>-100</v>
      </c>
      <c r="V43" s="7">
        <f>T43/(F43+1E-106)*100-100</f>
        <v>-100</v>
      </c>
      <c r="W43" s="7">
        <f>T43-L43</f>
        <v>0</v>
      </c>
      <c r="X43" s="9"/>
      <c r="Y43" s="50"/>
      <c r="AA43" s="34"/>
    </row>
    <row r="44" spans="1:27" ht="12" customHeight="1" hidden="1">
      <c r="A44" s="12"/>
      <c r="B44" s="35" t="s">
        <v>40</v>
      </c>
      <c r="C44" s="40" t="s">
        <v>43</v>
      </c>
      <c r="D44" s="141"/>
      <c r="E44" s="229"/>
      <c r="F44" s="141"/>
      <c r="G44" s="229"/>
      <c r="H44" s="229"/>
      <c r="I44" s="220"/>
      <c r="J44" s="214">
        <f t="shared" si="6"/>
        <v>0</v>
      </c>
      <c r="K44" s="229"/>
      <c r="L44" s="214"/>
      <c r="M44" s="337">
        <f>L44/(I44+1E-133)*100-100</f>
        <v>-100</v>
      </c>
      <c r="N44" s="214" t="e">
        <f t="shared" si="7"/>
        <v>#DIV/0!</v>
      </c>
      <c r="O44" s="214">
        <f t="shared" si="8"/>
        <v>-100</v>
      </c>
      <c r="P44" s="223" t="e">
        <f t="shared" si="14"/>
        <v>#DIV/0!</v>
      </c>
      <c r="Q44" s="217"/>
      <c r="R44" s="28"/>
      <c r="S44" s="29">
        <f>R44/(F44+1E-106)*100-100</f>
        <v>-100</v>
      </c>
      <c r="T44" s="28"/>
      <c r="U44" s="29">
        <f t="shared" si="9"/>
        <v>-100</v>
      </c>
      <c r="V44" s="29">
        <f>T44/(F44+1E-106)*100-100</f>
        <v>-100</v>
      </c>
      <c r="W44" s="29">
        <f>T44-L44</f>
        <v>0</v>
      </c>
      <c r="X44" s="16"/>
      <c r="Y44" s="49"/>
      <c r="Z44" s="21"/>
      <c r="AA44" s="22"/>
    </row>
    <row r="45" spans="1:27" ht="12" customHeight="1" hidden="1">
      <c r="A45" s="310" t="s">
        <v>31</v>
      </c>
      <c r="B45" s="4" t="s">
        <v>45</v>
      </c>
      <c r="C45" s="40"/>
      <c r="D45" s="219"/>
      <c r="E45" s="214"/>
      <c r="F45" s="219"/>
      <c r="G45" s="214"/>
      <c r="H45" s="214"/>
      <c r="I45" s="216"/>
      <c r="J45" s="214">
        <f t="shared" si="6"/>
        <v>0</v>
      </c>
      <c r="K45" s="214"/>
      <c r="L45" s="214"/>
      <c r="M45" s="337"/>
      <c r="N45" s="214" t="e">
        <f t="shared" si="7"/>
        <v>#DIV/0!</v>
      </c>
      <c r="O45" s="214">
        <f t="shared" si="8"/>
        <v>0</v>
      </c>
      <c r="P45" s="223"/>
      <c r="Q45" s="223"/>
      <c r="R45" s="28"/>
      <c r="S45" s="29"/>
      <c r="T45" s="28"/>
      <c r="U45" s="29"/>
      <c r="V45" s="29"/>
      <c r="W45" s="29"/>
      <c r="X45" s="16"/>
      <c r="Y45" s="49"/>
      <c r="Z45" s="21"/>
      <c r="AA45" s="22"/>
    </row>
    <row r="46" spans="1:27" ht="12" customHeight="1" hidden="1">
      <c r="A46" s="12"/>
      <c r="B46" s="27" t="s">
        <v>33</v>
      </c>
      <c r="C46" s="40" t="s">
        <v>34</v>
      </c>
      <c r="D46" s="141"/>
      <c r="E46" s="214">
        <f>E48*1000*E47/(E12+1E-99)</f>
        <v>0</v>
      </c>
      <c r="F46" s="141"/>
      <c r="G46" s="214">
        <f>G48*1000*G47/(G12+1E-99)</f>
        <v>0</v>
      </c>
      <c r="H46" s="401"/>
      <c r="I46" s="220"/>
      <c r="J46" s="214">
        <f t="shared" si="6"/>
        <v>0</v>
      </c>
      <c r="K46" s="401"/>
      <c r="L46" s="214"/>
      <c r="M46" s="337">
        <f>L46/(I46+1E-133)*100-100</f>
        <v>-100</v>
      </c>
      <c r="N46" s="214" t="e">
        <f t="shared" si="7"/>
        <v>#DIV/0!</v>
      </c>
      <c r="O46" s="214">
        <f t="shared" si="8"/>
        <v>-100</v>
      </c>
      <c r="P46" s="223" t="e">
        <f aca="true" t="shared" si="15" ref="P46:P71">N46-L46</f>
        <v>#DIV/0!</v>
      </c>
      <c r="Q46" s="223"/>
      <c r="R46" s="28"/>
      <c r="S46" s="29">
        <f>R46/(F46+1E-106)*100-100</f>
        <v>-100</v>
      </c>
      <c r="T46" s="28"/>
      <c r="U46" s="29">
        <f t="shared" si="9"/>
        <v>-100</v>
      </c>
      <c r="V46" s="29">
        <f>T46/(F46+1E-106)*100-100</f>
        <v>-100</v>
      </c>
      <c r="W46" s="29">
        <f>T46-L46</f>
        <v>0</v>
      </c>
      <c r="X46" s="16"/>
      <c r="Y46" s="49"/>
      <c r="Z46" s="21"/>
      <c r="AA46" s="22"/>
    </row>
    <row r="47" spans="1:27" ht="12" customHeight="1" hidden="1">
      <c r="A47" s="12"/>
      <c r="B47" s="27" t="s">
        <v>35</v>
      </c>
      <c r="C47" s="40"/>
      <c r="D47" s="141"/>
      <c r="E47" s="229"/>
      <c r="F47" s="141"/>
      <c r="G47" s="229"/>
      <c r="H47" s="229"/>
      <c r="I47" s="220"/>
      <c r="J47" s="214">
        <f t="shared" si="6"/>
        <v>0</v>
      </c>
      <c r="K47" s="229"/>
      <c r="L47" s="214"/>
      <c r="M47" s="337">
        <f>L47/(I47+1E-133)*100-100</f>
        <v>-100</v>
      </c>
      <c r="N47" s="214" t="e">
        <f t="shared" si="7"/>
        <v>#DIV/0!</v>
      </c>
      <c r="O47" s="214">
        <f t="shared" si="8"/>
        <v>-100</v>
      </c>
      <c r="P47" s="223" t="e">
        <f t="shared" si="15"/>
        <v>#DIV/0!</v>
      </c>
      <c r="Q47" s="217"/>
      <c r="R47" s="28"/>
      <c r="S47" s="29">
        <f>R47/(F47+1E-106)*100-100</f>
        <v>-100</v>
      </c>
      <c r="T47" s="28"/>
      <c r="U47" s="29">
        <f t="shared" si="9"/>
        <v>-100</v>
      </c>
      <c r="V47" s="29">
        <f>T47/(F47+1E-106)*100-100</f>
        <v>-100</v>
      </c>
      <c r="W47" s="29">
        <f>T47-L47</f>
        <v>0</v>
      </c>
      <c r="X47" s="16"/>
      <c r="Y47" s="49"/>
      <c r="Z47" s="21"/>
      <c r="AA47" s="22"/>
    </row>
    <row r="48" spans="1:27" ht="12" customHeight="1" hidden="1">
      <c r="A48" s="12"/>
      <c r="B48" s="13" t="s">
        <v>36</v>
      </c>
      <c r="C48" s="40" t="s">
        <v>42</v>
      </c>
      <c r="D48" s="219">
        <f>D46/(D47+1E-105)*D12/1000</f>
        <v>0</v>
      </c>
      <c r="E48" s="229"/>
      <c r="F48" s="219">
        <f>F46/(F47+1E-105)*F12/1000</f>
        <v>0</v>
      </c>
      <c r="G48" s="229"/>
      <c r="H48" s="401"/>
      <c r="I48" s="216">
        <f>I46/(I47+1E-105)*I12/1000</f>
        <v>0</v>
      </c>
      <c r="J48" s="214">
        <f t="shared" si="6"/>
        <v>0</v>
      </c>
      <c r="K48" s="401"/>
      <c r="L48" s="214"/>
      <c r="M48" s="337">
        <f>L48/(I48+1E-133)*100-100</f>
        <v>-100</v>
      </c>
      <c r="N48" s="214" t="e">
        <f t="shared" si="7"/>
        <v>#DIV/0!</v>
      </c>
      <c r="O48" s="214">
        <f t="shared" si="8"/>
        <v>-100</v>
      </c>
      <c r="P48" s="223" t="e">
        <f t="shared" si="15"/>
        <v>#DIV/0!</v>
      </c>
      <c r="Q48" s="223"/>
      <c r="R48" s="28">
        <f>R46/(R47+1E-105)*R12/1000</f>
        <v>0</v>
      </c>
      <c r="S48" s="29">
        <f>R48/(F48+1E-106)*100-100</f>
        <v>-100</v>
      </c>
      <c r="T48" s="28">
        <f>T46/(T47+1E-105)*T12/1000</f>
        <v>0</v>
      </c>
      <c r="U48" s="29">
        <f t="shared" si="9"/>
        <v>-100</v>
      </c>
      <c r="V48" s="29">
        <f>T48/(F48+1E-106)*100-100</f>
        <v>-100</v>
      </c>
      <c r="W48" s="29">
        <f>T48-L48</f>
        <v>0</v>
      </c>
      <c r="X48" s="16"/>
      <c r="Y48" s="49"/>
      <c r="Z48" s="21"/>
      <c r="AA48" s="22"/>
    </row>
    <row r="49" spans="1:27" s="33" customFormat="1" ht="12" customHeight="1" hidden="1">
      <c r="A49" s="3"/>
      <c r="B49" s="4" t="s">
        <v>38</v>
      </c>
      <c r="C49" s="40" t="s">
        <v>43</v>
      </c>
      <c r="D49" s="220"/>
      <c r="E49" s="224">
        <f>E107/(E48+1E-102)*1000</f>
        <v>0</v>
      </c>
      <c r="F49" s="220"/>
      <c r="G49" s="224">
        <f>G107/(G48+1E-102)*1000</f>
        <v>0</v>
      </c>
      <c r="H49" s="401"/>
      <c r="I49" s="220"/>
      <c r="J49" s="214">
        <f t="shared" si="6"/>
        <v>0</v>
      </c>
      <c r="K49" s="401"/>
      <c r="L49" s="214"/>
      <c r="M49" s="337">
        <f>L49/(I49+1E-133)*100-100</f>
        <v>-100</v>
      </c>
      <c r="N49" s="214" t="e">
        <f t="shared" si="7"/>
        <v>#DIV/0!</v>
      </c>
      <c r="O49" s="214">
        <f t="shared" si="8"/>
        <v>-100</v>
      </c>
      <c r="P49" s="227" t="e">
        <f t="shared" si="15"/>
        <v>#DIV/0!</v>
      </c>
      <c r="Q49" s="227"/>
      <c r="R49" s="25"/>
      <c r="S49" s="7">
        <f>R49/(F49+1E-106)*100-100</f>
        <v>-100</v>
      </c>
      <c r="T49" s="25"/>
      <c r="U49" s="7">
        <f t="shared" si="9"/>
        <v>-100</v>
      </c>
      <c r="V49" s="7">
        <f>T49/(F49+1E-106)*100-100</f>
        <v>-100</v>
      </c>
      <c r="W49" s="7">
        <f>T49-L49</f>
        <v>0</v>
      </c>
      <c r="X49" s="9"/>
      <c r="Y49" s="50"/>
      <c r="AA49" s="34"/>
    </row>
    <row r="50" spans="1:27" ht="12" customHeight="1" hidden="1">
      <c r="A50" s="12"/>
      <c r="B50" s="35" t="s">
        <v>40</v>
      </c>
      <c r="C50" s="40" t="s">
        <v>43</v>
      </c>
      <c r="D50" s="141"/>
      <c r="E50" s="229"/>
      <c r="F50" s="141"/>
      <c r="G50" s="229"/>
      <c r="H50" s="229"/>
      <c r="I50" s="220"/>
      <c r="J50" s="214">
        <f t="shared" si="6"/>
        <v>0</v>
      </c>
      <c r="K50" s="229"/>
      <c r="L50" s="214"/>
      <c r="M50" s="337">
        <f>L50/(I50+1E-133)*100-100</f>
        <v>-100</v>
      </c>
      <c r="N50" s="214" t="e">
        <f t="shared" si="7"/>
        <v>#DIV/0!</v>
      </c>
      <c r="O50" s="214">
        <f t="shared" si="8"/>
        <v>-100</v>
      </c>
      <c r="P50" s="223" t="e">
        <f t="shared" si="15"/>
        <v>#DIV/0!</v>
      </c>
      <c r="Q50" s="217"/>
      <c r="R50" s="28"/>
      <c r="S50" s="29">
        <f>R50/(F50+1E-106)*100-100</f>
        <v>-100</v>
      </c>
      <c r="T50" s="28"/>
      <c r="U50" s="29">
        <f t="shared" si="9"/>
        <v>-100</v>
      </c>
      <c r="V50" s="29">
        <f>T50/(F50+1E-106)*100-100</f>
        <v>-100</v>
      </c>
      <c r="W50" s="29">
        <f>T50-L50</f>
        <v>0</v>
      </c>
      <c r="X50" s="16"/>
      <c r="Y50" s="49"/>
      <c r="Z50" s="21"/>
      <c r="AA50" s="22"/>
    </row>
    <row r="51" spans="1:27" ht="12" customHeight="1" hidden="1">
      <c r="A51" s="310" t="s">
        <v>31</v>
      </c>
      <c r="B51" s="4" t="s">
        <v>46</v>
      </c>
      <c r="C51" s="40"/>
      <c r="D51" s="219"/>
      <c r="E51" s="214"/>
      <c r="F51" s="219"/>
      <c r="G51" s="214"/>
      <c r="H51" s="214"/>
      <c r="I51" s="216"/>
      <c r="J51" s="214">
        <f t="shared" si="6"/>
        <v>0</v>
      </c>
      <c r="K51" s="214"/>
      <c r="L51" s="214"/>
      <c r="M51" s="337"/>
      <c r="N51" s="214" t="e">
        <f t="shared" si="7"/>
        <v>#DIV/0!</v>
      </c>
      <c r="O51" s="214">
        <f t="shared" si="8"/>
        <v>0</v>
      </c>
      <c r="P51" s="223"/>
      <c r="Q51" s="223"/>
      <c r="R51" s="28"/>
      <c r="S51" s="29"/>
      <c r="T51" s="28"/>
      <c r="U51" s="29"/>
      <c r="V51" s="29"/>
      <c r="W51" s="29"/>
      <c r="X51" s="16"/>
      <c r="Y51" s="49"/>
      <c r="Z51" s="21"/>
      <c r="AA51" s="22"/>
    </row>
    <row r="52" spans="1:27" ht="12" customHeight="1" hidden="1">
      <c r="A52" s="12"/>
      <c r="B52" s="27" t="s">
        <v>33</v>
      </c>
      <c r="C52" s="40" t="s">
        <v>34</v>
      </c>
      <c r="D52" s="141"/>
      <c r="E52" s="214">
        <f>E54*1000*E53/(E13+1E-97)</f>
        <v>0</v>
      </c>
      <c r="F52" s="141"/>
      <c r="G52" s="214">
        <f>G54*1000*G53/(G13+1E-97)</f>
        <v>0</v>
      </c>
      <c r="H52" s="401"/>
      <c r="I52" s="220"/>
      <c r="J52" s="214">
        <f t="shared" si="6"/>
        <v>0</v>
      </c>
      <c r="K52" s="401"/>
      <c r="L52" s="214"/>
      <c r="M52" s="337">
        <f>L52/(I52+1E-133)*100-100</f>
        <v>-100</v>
      </c>
      <c r="N52" s="214" t="e">
        <f t="shared" si="7"/>
        <v>#DIV/0!</v>
      </c>
      <c r="O52" s="214">
        <f t="shared" si="8"/>
        <v>-100</v>
      </c>
      <c r="P52" s="223" t="e">
        <f t="shared" si="15"/>
        <v>#DIV/0!</v>
      </c>
      <c r="Q52" s="223"/>
      <c r="R52" s="28"/>
      <c r="S52" s="29">
        <f>R52/(F52+1E-106)*100-100</f>
        <v>-100</v>
      </c>
      <c r="T52" s="28"/>
      <c r="U52" s="29">
        <f t="shared" si="9"/>
        <v>-100</v>
      </c>
      <c r="V52" s="29">
        <f>T52/(F52+1E-106)*100-100</f>
        <v>-100</v>
      </c>
      <c r="W52" s="29">
        <f>T52-L52</f>
        <v>0</v>
      </c>
      <c r="X52" s="16"/>
      <c r="Y52" s="49"/>
      <c r="Z52" s="21"/>
      <c r="AA52" s="22"/>
    </row>
    <row r="53" spans="1:27" ht="12" customHeight="1" hidden="1">
      <c r="A53" s="12"/>
      <c r="B53" s="27" t="s">
        <v>35</v>
      </c>
      <c r="C53" s="40"/>
      <c r="D53" s="141"/>
      <c r="E53" s="229"/>
      <c r="F53" s="141"/>
      <c r="G53" s="229"/>
      <c r="H53" s="229"/>
      <c r="I53" s="220"/>
      <c r="J53" s="214">
        <f t="shared" si="6"/>
        <v>0</v>
      </c>
      <c r="K53" s="229"/>
      <c r="L53" s="214"/>
      <c r="M53" s="337">
        <f>L53/(I53+1E-133)*100-100</f>
        <v>-100</v>
      </c>
      <c r="N53" s="214" t="e">
        <f t="shared" si="7"/>
        <v>#DIV/0!</v>
      </c>
      <c r="O53" s="214">
        <f t="shared" si="8"/>
        <v>-100</v>
      </c>
      <c r="P53" s="223" t="e">
        <f t="shared" si="15"/>
        <v>#DIV/0!</v>
      </c>
      <c r="Q53" s="217"/>
      <c r="R53" s="28"/>
      <c r="S53" s="29">
        <f>R53/(F53+1E-106)*100-100</f>
        <v>-100</v>
      </c>
      <c r="T53" s="28"/>
      <c r="U53" s="29">
        <f t="shared" si="9"/>
        <v>-100</v>
      </c>
      <c r="V53" s="29">
        <f>T53/(F53+1E-106)*100-100</f>
        <v>-100</v>
      </c>
      <c r="W53" s="29">
        <f>T53-L53</f>
        <v>0</v>
      </c>
      <c r="X53" s="16"/>
      <c r="Y53" s="49"/>
      <c r="Z53" s="21"/>
      <c r="AA53" s="22"/>
    </row>
    <row r="54" spans="1:27" ht="12" customHeight="1" hidden="1">
      <c r="A54" s="12"/>
      <c r="B54" s="13" t="s">
        <v>36</v>
      </c>
      <c r="C54" s="40" t="s">
        <v>42</v>
      </c>
      <c r="D54" s="219">
        <f>D52/(D53+1E-101)*D13/1000</f>
        <v>0</v>
      </c>
      <c r="E54" s="229"/>
      <c r="F54" s="219">
        <f>F52/(F53+1E-101)*F13/1000</f>
        <v>0</v>
      </c>
      <c r="G54" s="229"/>
      <c r="H54" s="401"/>
      <c r="I54" s="216">
        <f>I52/(I53+1E-101)*I13/1000</f>
        <v>0</v>
      </c>
      <c r="J54" s="214">
        <f t="shared" si="6"/>
        <v>0</v>
      </c>
      <c r="K54" s="401"/>
      <c r="L54" s="214"/>
      <c r="M54" s="337">
        <f>L54/(I54+1E-133)*100-100</f>
        <v>-100</v>
      </c>
      <c r="N54" s="214" t="e">
        <f t="shared" si="7"/>
        <v>#DIV/0!</v>
      </c>
      <c r="O54" s="214">
        <f t="shared" si="8"/>
        <v>-100</v>
      </c>
      <c r="P54" s="223" t="e">
        <f t="shared" si="15"/>
        <v>#DIV/0!</v>
      </c>
      <c r="Q54" s="223"/>
      <c r="R54" s="28">
        <f>R52/(R53+1E-101)*R13/1000</f>
        <v>0</v>
      </c>
      <c r="S54" s="29">
        <f>R54/(F54+1E-106)*100-100</f>
        <v>-100</v>
      </c>
      <c r="T54" s="28">
        <f>T52/(T53+1E-101)*T13/1000</f>
        <v>0</v>
      </c>
      <c r="U54" s="29">
        <f t="shared" si="9"/>
        <v>-100</v>
      </c>
      <c r="V54" s="29">
        <f>T54/(F54+1E-106)*100-100</f>
        <v>-100</v>
      </c>
      <c r="W54" s="29">
        <f>T54-L54</f>
        <v>0</v>
      </c>
      <c r="X54" s="16"/>
      <c r="Y54" s="49"/>
      <c r="Z54" s="21"/>
      <c r="AA54" s="22"/>
    </row>
    <row r="55" spans="1:27" s="33" customFormat="1" ht="12" customHeight="1" hidden="1">
      <c r="A55" s="3"/>
      <c r="B55" s="4" t="s">
        <v>38</v>
      </c>
      <c r="C55" s="40" t="s">
        <v>43</v>
      </c>
      <c r="D55" s="220"/>
      <c r="E55" s="224">
        <f>E108/(E54+1E-102)*1000</f>
        <v>0</v>
      </c>
      <c r="F55" s="220"/>
      <c r="G55" s="224">
        <f>G108/(G54+1E-102)*1000</f>
        <v>0</v>
      </c>
      <c r="H55" s="229"/>
      <c r="I55" s="220"/>
      <c r="J55" s="214">
        <f t="shared" si="6"/>
        <v>0</v>
      </c>
      <c r="K55" s="229"/>
      <c r="L55" s="214"/>
      <c r="M55" s="337">
        <f>L55/(I55+1E-133)*100-100</f>
        <v>-100</v>
      </c>
      <c r="N55" s="214" t="e">
        <f t="shared" si="7"/>
        <v>#DIV/0!</v>
      </c>
      <c r="O55" s="214">
        <f t="shared" si="8"/>
        <v>-100</v>
      </c>
      <c r="P55" s="227" t="e">
        <f t="shared" si="15"/>
        <v>#DIV/0!</v>
      </c>
      <c r="Q55" s="227"/>
      <c r="R55" s="25"/>
      <c r="S55" s="7">
        <f>R55/(F55+1E-106)*100-100</f>
        <v>-100</v>
      </c>
      <c r="T55" s="25"/>
      <c r="U55" s="7">
        <f t="shared" si="9"/>
        <v>-100</v>
      </c>
      <c r="V55" s="7">
        <f>T55/(F55+1E-106)*100-100</f>
        <v>-100</v>
      </c>
      <c r="W55" s="7">
        <f>T55-L55</f>
        <v>0</v>
      </c>
      <c r="X55" s="9"/>
      <c r="Y55" s="50"/>
      <c r="AA55" s="34"/>
    </row>
    <row r="56" spans="1:27" ht="12" customHeight="1" hidden="1">
      <c r="A56" s="12"/>
      <c r="B56" s="35" t="s">
        <v>40</v>
      </c>
      <c r="C56" s="40" t="s">
        <v>43</v>
      </c>
      <c r="D56" s="141"/>
      <c r="E56" s="229"/>
      <c r="F56" s="141"/>
      <c r="G56" s="229"/>
      <c r="H56" s="229"/>
      <c r="I56" s="220"/>
      <c r="J56" s="214">
        <f t="shared" si="6"/>
        <v>0</v>
      </c>
      <c r="K56" s="229"/>
      <c r="L56" s="214"/>
      <c r="M56" s="337">
        <f>L56/(I56+1E-133)*100-100</f>
        <v>-100</v>
      </c>
      <c r="N56" s="214" t="e">
        <f t="shared" si="7"/>
        <v>#DIV/0!</v>
      </c>
      <c r="O56" s="214">
        <f t="shared" si="8"/>
        <v>-100</v>
      </c>
      <c r="P56" s="223" t="e">
        <f t="shared" si="15"/>
        <v>#DIV/0!</v>
      </c>
      <c r="Q56" s="217"/>
      <c r="R56" s="28"/>
      <c r="S56" s="29">
        <f>R56/(F56+1E-106)*100-100</f>
        <v>-100</v>
      </c>
      <c r="T56" s="28"/>
      <c r="U56" s="29">
        <f t="shared" si="9"/>
        <v>-100</v>
      </c>
      <c r="V56" s="29">
        <f>T56/(F56+1E-106)*100-100</f>
        <v>-100</v>
      </c>
      <c r="W56" s="29">
        <f>T56-L56</f>
        <v>0</v>
      </c>
      <c r="X56" s="16"/>
      <c r="Y56" s="49"/>
      <c r="Z56" s="21"/>
      <c r="AA56" s="22"/>
    </row>
    <row r="57" spans="1:27" ht="12" customHeight="1" hidden="1">
      <c r="A57" s="310" t="s">
        <v>31</v>
      </c>
      <c r="B57" s="4" t="s">
        <v>47</v>
      </c>
      <c r="C57" s="40"/>
      <c r="D57" s="219"/>
      <c r="E57" s="214"/>
      <c r="F57" s="219"/>
      <c r="G57" s="214"/>
      <c r="H57" s="214"/>
      <c r="I57" s="216"/>
      <c r="J57" s="214">
        <f t="shared" si="6"/>
        <v>0</v>
      </c>
      <c r="K57" s="214"/>
      <c r="L57" s="214"/>
      <c r="M57" s="337"/>
      <c r="N57" s="214" t="e">
        <f t="shared" si="7"/>
        <v>#DIV/0!</v>
      </c>
      <c r="O57" s="214">
        <f t="shared" si="8"/>
        <v>0</v>
      </c>
      <c r="P57" s="223"/>
      <c r="Q57" s="223"/>
      <c r="R57" s="28"/>
      <c r="S57" s="29"/>
      <c r="T57" s="28"/>
      <c r="U57" s="29"/>
      <c r="V57" s="29"/>
      <c r="W57" s="29"/>
      <c r="X57" s="16"/>
      <c r="Y57" s="49"/>
      <c r="Z57" s="21"/>
      <c r="AA57" s="22"/>
    </row>
    <row r="58" spans="1:27" ht="12" customHeight="1" hidden="1">
      <c r="A58" s="12"/>
      <c r="B58" s="27" t="s">
        <v>33</v>
      </c>
      <c r="C58" s="40" t="s">
        <v>34</v>
      </c>
      <c r="D58" s="141"/>
      <c r="E58" s="214">
        <f>E60*1000*E59/(E14+1E-96)</f>
        <v>0</v>
      </c>
      <c r="F58" s="141"/>
      <c r="G58" s="214">
        <f>G60*1000*G59/(G14+1E-96)</f>
        <v>0</v>
      </c>
      <c r="H58" s="229"/>
      <c r="I58" s="220"/>
      <c r="J58" s="214">
        <f t="shared" si="6"/>
        <v>0</v>
      </c>
      <c r="K58" s="229"/>
      <c r="L58" s="214"/>
      <c r="M58" s="337">
        <f>L58/(I58+1E-133)*100-100</f>
        <v>-100</v>
      </c>
      <c r="N58" s="214" t="e">
        <f t="shared" si="7"/>
        <v>#DIV/0!</v>
      </c>
      <c r="O58" s="214">
        <f t="shared" si="8"/>
        <v>-100</v>
      </c>
      <c r="P58" s="223" t="e">
        <f t="shared" si="15"/>
        <v>#DIV/0!</v>
      </c>
      <c r="Q58" s="223"/>
      <c r="R58" s="28"/>
      <c r="S58" s="29">
        <f>R58/(F58+1E-106)*100-100</f>
        <v>-100</v>
      </c>
      <c r="T58" s="28"/>
      <c r="U58" s="29">
        <f t="shared" si="9"/>
        <v>-100</v>
      </c>
      <c r="V58" s="29">
        <f>T58/(F58+1E-106)*100-100</f>
        <v>-100</v>
      </c>
      <c r="W58" s="29">
        <f>T58-L58</f>
        <v>0</v>
      </c>
      <c r="X58" s="16"/>
      <c r="Y58" s="49"/>
      <c r="Z58" s="21"/>
      <c r="AA58" s="22"/>
    </row>
    <row r="59" spans="1:27" ht="12" customHeight="1" hidden="1">
      <c r="A59" s="12"/>
      <c r="B59" s="27" t="s">
        <v>35</v>
      </c>
      <c r="C59" s="40"/>
      <c r="D59" s="141"/>
      <c r="E59" s="229"/>
      <c r="F59" s="141"/>
      <c r="G59" s="229"/>
      <c r="H59" s="214"/>
      <c r="I59" s="220"/>
      <c r="J59" s="214">
        <f t="shared" si="6"/>
        <v>0</v>
      </c>
      <c r="K59" s="214"/>
      <c r="L59" s="214"/>
      <c r="M59" s="337">
        <f>L59/(I59+1E-133)*100-100</f>
        <v>-100</v>
      </c>
      <c r="N59" s="214" t="e">
        <f t="shared" si="7"/>
        <v>#DIV/0!</v>
      </c>
      <c r="O59" s="214">
        <f t="shared" si="8"/>
        <v>-100</v>
      </c>
      <c r="P59" s="223" t="e">
        <f t="shared" si="15"/>
        <v>#DIV/0!</v>
      </c>
      <c r="Q59" s="217"/>
      <c r="R59" s="28"/>
      <c r="S59" s="29">
        <f>R59/(F59+1E-106)*100-100</f>
        <v>-100</v>
      </c>
      <c r="T59" s="28"/>
      <c r="U59" s="29">
        <f t="shared" si="9"/>
        <v>-100</v>
      </c>
      <c r="V59" s="29">
        <f>T59/(F59+1E-106)*100-100</f>
        <v>-100</v>
      </c>
      <c r="W59" s="29">
        <f>T59-L59</f>
        <v>0</v>
      </c>
      <c r="X59" s="16"/>
      <c r="Y59" s="49"/>
      <c r="Z59" s="21"/>
      <c r="AA59" s="22"/>
    </row>
    <row r="60" spans="1:27" ht="12" customHeight="1" hidden="1">
      <c r="A60" s="12"/>
      <c r="B60" s="13" t="s">
        <v>36</v>
      </c>
      <c r="C60" s="40" t="s">
        <v>42</v>
      </c>
      <c r="D60" s="219">
        <f>D58/(D59+1E-101)*D14/1000</f>
        <v>0</v>
      </c>
      <c r="E60" s="229"/>
      <c r="F60" s="219">
        <f>F58/(F59+1E-101)*F14/1000</f>
        <v>0</v>
      </c>
      <c r="G60" s="229"/>
      <c r="H60" s="401"/>
      <c r="I60" s="216">
        <f>I58/(I59+1E-101)*I14/1000</f>
        <v>0</v>
      </c>
      <c r="J60" s="214">
        <f t="shared" si="6"/>
        <v>0</v>
      </c>
      <c r="K60" s="401"/>
      <c r="L60" s="214"/>
      <c r="M60" s="337">
        <f>L60/(I60+1E-133)*100-100</f>
        <v>-100</v>
      </c>
      <c r="N60" s="214" t="e">
        <f t="shared" si="7"/>
        <v>#DIV/0!</v>
      </c>
      <c r="O60" s="214">
        <f t="shared" si="8"/>
        <v>-100</v>
      </c>
      <c r="P60" s="223" t="e">
        <f t="shared" si="15"/>
        <v>#DIV/0!</v>
      </c>
      <c r="Q60" s="223"/>
      <c r="R60" s="28">
        <f>R58/(R59+1E-101)*R14/1000</f>
        <v>0</v>
      </c>
      <c r="S60" s="29">
        <f>R60/(F60+1E-106)*100-100</f>
        <v>-100</v>
      </c>
      <c r="T60" s="28">
        <f>T58/(T59+1E-101)*T14/1000</f>
        <v>0</v>
      </c>
      <c r="U60" s="29">
        <f t="shared" si="9"/>
        <v>-100</v>
      </c>
      <c r="V60" s="29">
        <f>T60/(F60+1E-106)*100-100</f>
        <v>-100</v>
      </c>
      <c r="W60" s="29">
        <f>T60-L60</f>
        <v>0</v>
      </c>
      <c r="X60" s="16"/>
      <c r="Y60" s="49"/>
      <c r="Z60" s="21"/>
      <c r="AA60" s="22"/>
    </row>
    <row r="61" spans="1:27" s="33" customFormat="1" ht="12" customHeight="1" hidden="1">
      <c r="A61" s="3"/>
      <c r="B61" s="4" t="s">
        <v>38</v>
      </c>
      <c r="C61" s="40" t="s">
        <v>43</v>
      </c>
      <c r="D61" s="220"/>
      <c r="E61" s="224">
        <f>E109/(E60+1E-102)*1000</f>
        <v>0</v>
      </c>
      <c r="F61" s="220"/>
      <c r="G61" s="224">
        <f>G109/(G60+1E-102)*1000</f>
        <v>0</v>
      </c>
      <c r="H61" s="401"/>
      <c r="I61" s="220"/>
      <c r="J61" s="214">
        <f t="shared" si="6"/>
        <v>0</v>
      </c>
      <c r="K61" s="401"/>
      <c r="L61" s="214"/>
      <c r="M61" s="337">
        <f>L61/(I61+1E-133)*100-100</f>
        <v>-100</v>
      </c>
      <c r="N61" s="214" t="e">
        <f t="shared" si="7"/>
        <v>#DIV/0!</v>
      </c>
      <c r="O61" s="214">
        <f t="shared" si="8"/>
        <v>-100</v>
      </c>
      <c r="P61" s="227" t="e">
        <f t="shared" si="15"/>
        <v>#DIV/0!</v>
      </c>
      <c r="Q61" s="226"/>
      <c r="R61" s="25"/>
      <c r="S61" s="7">
        <f>R61/(F61+1E-106)*100-100</f>
        <v>-100</v>
      </c>
      <c r="T61" s="25"/>
      <c r="U61" s="7">
        <f t="shared" si="9"/>
        <v>-100</v>
      </c>
      <c r="V61" s="7">
        <f>T61/(F61+1E-106)*100-100</f>
        <v>-100</v>
      </c>
      <c r="W61" s="7">
        <f>T61-L61</f>
        <v>0</v>
      </c>
      <c r="X61" s="9"/>
      <c r="Y61" s="50"/>
      <c r="AA61" s="34"/>
    </row>
    <row r="62" spans="1:27" ht="12" customHeight="1" hidden="1">
      <c r="A62" s="12"/>
      <c r="B62" s="35" t="s">
        <v>40</v>
      </c>
      <c r="C62" s="40" t="s">
        <v>43</v>
      </c>
      <c r="D62" s="141"/>
      <c r="E62" s="229"/>
      <c r="F62" s="141"/>
      <c r="G62" s="229"/>
      <c r="H62" s="229"/>
      <c r="I62" s="220"/>
      <c r="J62" s="214">
        <f t="shared" si="6"/>
        <v>0</v>
      </c>
      <c r="K62" s="229"/>
      <c r="L62" s="214"/>
      <c r="M62" s="337">
        <f>L62/(I62+1E-133)*100-100</f>
        <v>-100</v>
      </c>
      <c r="N62" s="214" t="e">
        <f t="shared" si="7"/>
        <v>#DIV/0!</v>
      </c>
      <c r="O62" s="214">
        <f t="shared" si="8"/>
        <v>-100</v>
      </c>
      <c r="P62" s="223" t="e">
        <f t="shared" si="15"/>
        <v>#DIV/0!</v>
      </c>
      <c r="Q62" s="217"/>
      <c r="R62" s="28"/>
      <c r="S62" s="29">
        <f>R62/(F62+1E-106)*100-100</f>
        <v>-100</v>
      </c>
      <c r="T62" s="28"/>
      <c r="U62" s="29">
        <f t="shared" si="9"/>
        <v>-100</v>
      </c>
      <c r="V62" s="29">
        <f>T62/(F62+1E-106)*100-100</f>
        <v>-100</v>
      </c>
      <c r="W62" s="29">
        <f>T62-L62</f>
        <v>0</v>
      </c>
      <c r="X62" s="16"/>
      <c r="Y62" s="49"/>
      <c r="Z62" s="21"/>
      <c r="AA62" s="22"/>
    </row>
    <row r="63" spans="1:27" ht="12" customHeight="1" hidden="1">
      <c r="A63" s="310" t="s">
        <v>31</v>
      </c>
      <c r="B63" s="4" t="s">
        <v>48</v>
      </c>
      <c r="C63" s="40"/>
      <c r="D63" s="219"/>
      <c r="E63" s="214"/>
      <c r="F63" s="219"/>
      <c r="G63" s="214"/>
      <c r="H63" s="214"/>
      <c r="I63" s="216"/>
      <c r="J63" s="214">
        <f t="shared" si="6"/>
        <v>0</v>
      </c>
      <c r="K63" s="214"/>
      <c r="L63" s="214"/>
      <c r="M63" s="337"/>
      <c r="N63" s="214" t="e">
        <f t="shared" si="7"/>
        <v>#DIV/0!</v>
      </c>
      <c r="O63" s="214">
        <f t="shared" si="8"/>
        <v>0</v>
      </c>
      <c r="P63" s="223"/>
      <c r="Q63" s="223"/>
      <c r="R63" s="28"/>
      <c r="S63" s="29"/>
      <c r="T63" s="28"/>
      <c r="U63" s="29"/>
      <c r="V63" s="29"/>
      <c r="W63" s="29"/>
      <c r="X63" s="16"/>
      <c r="Y63" s="49"/>
      <c r="Z63" s="21"/>
      <c r="AA63" s="22"/>
    </row>
    <row r="64" spans="1:27" ht="12" customHeight="1" hidden="1">
      <c r="A64" s="12"/>
      <c r="B64" s="27" t="s">
        <v>33</v>
      </c>
      <c r="C64" s="40" t="s">
        <v>34</v>
      </c>
      <c r="D64" s="141"/>
      <c r="E64" s="214">
        <f>E66*1000*E65/(E15+1E-98)</f>
        <v>0</v>
      </c>
      <c r="F64" s="141"/>
      <c r="G64" s="214">
        <f>G66*1000*G65/(G15+1E-98)</f>
        <v>0</v>
      </c>
      <c r="H64" s="229"/>
      <c r="I64" s="220"/>
      <c r="J64" s="214">
        <f t="shared" si="6"/>
        <v>0</v>
      </c>
      <c r="K64" s="229"/>
      <c r="L64" s="214"/>
      <c r="M64" s="337">
        <f>L64/(I64+1E-133)*100-100</f>
        <v>-100</v>
      </c>
      <c r="N64" s="214" t="e">
        <f t="shared" si="7"/>
        <v>#DIV/0!</v>
      </c>
      <c r="O64" s="214">
        <f t="shared" si="8"/>
        <v>-100</v>
      </c>
      <c r="P64" s="223" t="e">
        <f t="shared" si="15"/>
        <v>#DIV/0!</v>
      </c>
      <c r="Q64" s="217"/>
      <c r="R64" s="28"/>
      <c r="S64" s="29">
        <f>R64/(F64+1E-106)*100-100</f>
        <v>-100</v>
      </c>
      <c r="T64" s="28"/>
      <c r="U64" s="29">
        <f t="shared" si="9"/>
        <v>-100</v>
      </c>
      <c r="V64" s="29">
        <f>T64/(F64+1E-106)*100-100</f>
        <v>-100</v>
      </c>
      <c r="W64" s="29">
        <f aca="true" t="shared" si="16" ref="W64:W97">T64-L64</f>
        <v>0</v>
      </c>
      <c r="X64" s="16"/>
      <c r="Y64" s="49"/>
      <c r="Z64" s="21"/>
      <c r="AA64" s="22"/>
    </row>
    <row r="65" spans="1:27" ht="12" customHeight="1" hidden="1">
      <c r="A65" s="12"/>
      <c r="B65" s="27" t="s">
        <v>35</v>
      </c>
      <c r="C65" s="40"/>
      <c r="D65" s="141"/>
      <c r="E65" s="229"/>
      <c r="F65" s="141"/>
      <c r="G65" s="229"/>
      <c r="H65" s="229"/>
      <c r="I65" s="220"/>
      <c r="J65" s="214">
        <f t="shared" si="6"/>
        <v>0</v>
      </c>
      <c r="K65" s="229"/>
      <c r="L65" s="214"/>
      <c r="M65" s="337">
        <f>L65/(I65+1E-133)*100-100</f>
        <v>-100</v>
      </c>
      <c r="N65" s="214" t="e">
        <f t="shared" si="7"/>
        <v>#DIV/0!</v>
      </c>
      <c r="O65" s="214">
        <f t="shared" si="8"/>
        <v>-100</v>
      </c>
      <c r="P65" s="223" t="e">
        <f t="shared" si="15"/>
        <v>#DIV/0!</v>
      </c>
      <c r="Q65" s="217"/>
      <c r="R65" s="28"/>
      <c r="S65" s="29"/>
      <c r="T65" s="28"/>
      <c r="U65" s="29">
        <f t="shared" si="9"/>
        <v>-100</v>
      </c>
      <c r="V65" s="29">
        <f>T65/(F65+1E-106)*100-100</f>
        <v>-100</v>
      </c>
      <c r="W65" s="29">
        <f t="shared" si="16"/>
        <v>0</v>
      </c>
      <c r="X65" s="16"/>
      <c r="Y65" s="49"/>
      <c r="Z65" s="21"/>
      <c r="AA65" s="22"/>
    </row>
    <row r="66" spans="1:27" ht="12" customHeight="1" hidden="1">
      <c r="A66" s="12"/>
      <c r="B66" s="13" t="s">
        <v>36</v>
      </c>
      <c r="C66" s="40" t="s">
        <v>42</v>
      </c>
      <c r="D66" s="219">
        <f>D64/(D65+1E-97)*D15/1000</f>
        <v>0</v>
      </c>
      <c r="E66" s="229"/>
      <c r="F66" s="219">
        <f>F64/(F65+1E-97)*F15/1000</f>
        <v>0</v>
      </c>
      <c r="G66" s="229"/>
      <c r="H66" s="401"/>
      <c r="I66" s="216">
        <f>I64/(I65+1E-97)*I15/1000</f>
        <v>0</v>
      </c>
      <c r="J66" s="214">
        <f t="shared" si="6"/>
        <v>0</v>
      </c>
      <c r="K66" s="401"/>
      <c r="L66" s="214"/>
      <c r="M66" s="337">
        <f>L66/(I66+1E-133)*100-100</f>
        <v>-100</v>
      </c>
      <c r="N66" s="214" t="e">
        <f t="shared" si="7"/>
        <v>#DIV/0!</v>
      </c>
      <c r="O66" s="214">
        <f t="shared" si="8"/>
        <v>-100</v>
      </c>
      <c r="P66" s="223" t="e">
        <f t="shared" si="15"/>
        <v>#DIV/0!</v>
      </c>
      <c r="Q66" s="223"/>
      <c r="R66" s="28">
        <f>R64/(R65+1E-97)*R15/1000</f>
        <v>0</v>
      </c>
      <c r="S66" s="29">
        <f>R66/(F66+1E-106)*100-100</f>
        <v>-100</v>
      </c>
      <c r="T66" s="28">
        <f>T64/(T65+1E-97)*T15/1000</f>
        <v>0</v>
      </c>
      <c r="U66" s="29">
        <f t="shared" si="9"/>
        <v>-100</v>
      </c>
      <c r="V66" s="29">
        <f>T66/(F66+1E-106)*100-100</f>
        <v>-100</v>
      </c>
      <c r="W66" s="29">
        <f t="shared" si="16"/>
        <v>0</v>
      </c>
      <c r="X66" s="16"/>
      <c r="Y66" s="49"/>
      <c r="Z66" s="21"/>
      <c r="AA66" s="22"/>
    </row>
    <row r="67" spans="1:27" s="33" customFormat="1" ht="12" customHeight="1" hidden="1">
      <c r="A67" s="3"/>
      <c r="B67" s="4" t="s">
        <v>38</v>
      </c>
      <c r="C67" s="40" t="s">
        <v>43</v>
      </c>
      <c r="D67" s="220"/>
      <c r="E67" s="224">
        <f>E110/(E66+1E-102)*1000</f>
        <v>0</v>
      </c>
      <c r="F67" s="220"/>
      <c r="G67" s="224">
        <f>G110/(G66+1E-102)*1000</f>
        <v>0</v>
      </c>
      <c r="H67" s="401"/>
      <c r="I67" s="220"/>
      <c r="J67" s="214">
        <f t="shared" si="6"/>
        <v>0</v>
      </c>
      <c r="K67" s="401"/>
      <c r="L67" s="214"/>
      <c r="M67" s="337">
        <f>L67/(I67+1E-133)*100-100</f>
        <v>-100</v>
      </c>
      <c r="N67" s="214" t="e">
        <f t="shared" si="7"/>
        <v>#DIV/0!</v>
      </c>
      <c r="O67" s="214">
        <f t="shared" si="8"/>
        <v>-100</v>
      </c>
      <c r="P67" s="227" t="e">
        <f t="shared" si="15"/>
        <v>#DIV/0!</v>
      </c>
      <c r="Q67" s="226"/>
      <c r="R67" s="25"/>
      <c r="S67" s="7">
        <f>R67/(F67+1E-106)*100-100</f>
        <v>-100</v>
      </c>
      <c r="T67" s="25"/>
      <c r="U67" s="7">
        <f t="shared" si="9"/>
        <v>-100</v>
      </c>
      <c r="V67" s="7">
        <f>T67/(F67+1E-106)*100-100</f>
        <v>-100</v>
      </c>
      <c r="W67" s="7">
        <f t="shared" si="16"/>
        <v>0</v>
      </c>
      <c r="X67" s="9"/>
      <c r="Y67" s="50"/>
      <c r="AA67" s="34"/>
    </row>
    <row r="68" spans="1:27" ht="12" customHeight="1" hidden="1">
      <c r="A68" s="12"/>
      <c r="B68" s="35" t="s">
        <v>40</v>
      </c>
      <c r="C68" s="40" t="s">
        <v>43</v>
      </c>
      <c r="D68" s="141"/>
      <c r="E68" s="229"/>
      <c r="F68" s="141"/>
      <c r="G68" s="229"/>
      <c r="H68" s="229"/>
      <c r="I68" s="220"/>
      <c r="J68" s="214">
        <f t="shared" si="6"/>
        <v>0</v>
      </c>
      <c r="K68" s="229"/>
      <c r="L68" s="214"/>
      <c r="M68" s="337">
        <f>L68/(I68+1E-133)*100-100</f>
        <v>-100</v>
      </c>
      <c r="N68" s="214" t="e">
        <f t="shared" si="7"/>
        <v>#DIV/0!</v>
      </c>
      <c r="O68" s="214">
        <f t="shared" si="8"/>
        <v>-100</v>
      </c>
      <c r="P68" s="223" t="e">
        <f t="shared" si="15"/>
        <v>#DIV/0!</v>
      </c>
      <c r="Q68" s="217"/>
      <c r="R68" s="28"/>
      <c r="S68" s="29">
        <f>R68/(F68+1E-106)*100-100</f>
        <v>-100</v>
      </c>
      <c r="T68" s="28"/>
      <c r="U68" s="29">
        <f t="shared" si="9"/>
        <v>-100</v>
      </c>
      <c r="V68" s="29">
        <f>T68/(F68+1E-106)*100-100</f>
        <v>-100</v>
      </c>
      <c r="W68" s="29">
        <f t="shared" si="16"/>
        <v>0</v>
      </c>
      <c r="X68" s="16"/>
      <c r="Y68" s="49"/>
      <c r="Z68" s="21"/>
      <c r="AA68" s="22"/>
    </row>
    <row r="69" spans="1:27" ht="12" customHeight="1">
      <c r="A69" s="311">
        <v>8</v>
      </c>
      <c r="B69" s="52" t="s">
        <v>49</v>
      </c>
      <c r="C69" s="165"/>
      <c r="D69" s="216"/>
      <c r="E69" s="216"/>
      <c r="F69" s="216"/>
      <c r="G69" s="216"/>
      <c r="H69" s="219"/>
      <c r="I69" s="216"/>
      <c r="J69" s="336">
        <f t="shared" si="6"/>
        <v>0</v>
      </c>
      <c r="K69" s="219"/>
      <c r="L69" s="336"/>
      <c r="M69" s="337"/>
      <c r="N69" s="336"/>
      <c r="O69" s="336">
        <f t="shared" si="8"/>
        <v>0</v>
      </c>
      <c r="P69" s="216"/>
      <c r="Q69" s="216"/>
      <c r="R69" s="164"/>
      <c r="S69" s="164"/>
      <c r="T69" s="164"/>
      <c r="U69" s="164"/>
      <c r="V69" s="164"/>
      <c r="W69" s="164">
        <f t="shared" si="16"/>
        <v>0</v>
      </c>
      <c r="X69" s="55"/>
      <c r="Y69" s="49"/>
      <c r="Z69" s="21"/>
      <c r="AA69" s="22"/>
    </row>
    <row r="70" spans="1:27" ht="12" customHeight="1">
      <c r="A70" s="3" t="s">
        <v>31</v>
      </c>
      <c r="B70" s="13" t="s">
        <v>50</v>
      </c>
      <c r="C70" s="40"/>
      <c r="D70" s="219">
        <f>D71*1000/(D8+1E-113)</f>
        <v>0</v>
      </c>
      <c r="E70" s="214">
        <f>E71*1000/(E8+1E-113)</f>
        <v>0</v>
      </c>
      <c r="F70" s="219">
        <f>F71*1000/(F8+1E-113)</f>
        <v>0</v>
      </c>
      <c r="G70" s="214">
        <f>G71*1000/(G8+1E-113)</f>
        <v>0</v>
      </c>
      <c r="H70" s="214">
        <f>H71/H8*1000</f>
        <v>17.684887459807076</v>
      </c>
      <c r="I70" s="216">
        <f>I71/I8*1000</f>
        <v>15.220749928467077</v>
      </c>
      <c r="J70" s="214">
        <f t="shared" si="6"/>
        <v>-2.4641375313399987</v>
      </c>
      <c r="K70" s="214">
        <f>K71/K8*1000</f>
        <v>17.684887459807076</v>
      </c>
      <c r="L70" s="214">
        <f>K70/H70*100-100</f>
        <v>0</v>
      </c>
      <c r="M70" s="216">
        <f>M71/M8*1000</f>
        <v>15.220749928467077</v>
      </c>
      <c r="N70" s="214">
        <f t="shared" si="7"/>
        <v>0</v>
      </c>
      <c r="O70" s="214">
        <f t="shared" si="8"/>
        <v>-2.4641375313399987</v>
      </c>
      <c r="P70" s="223">
        <f t="shared" si="15"/>
        <v>0</v>
      </c>
      <c r="Q70" s="223"/>
      <c r="R70" s="28" t="e">
        <f>R71*1000/(R8+1E-113)</f>
        <v>#REF!</v>
      </c>
      <c r="S70" s="29" t="e">
        <f>R70/(F70+1E-106)*100-100</f>
        <v>#REF!</v>
      </c>
      <c r="T70" s="28" t="e">
        <f>T71*1000/(T8+1E-113)</f>
        <v>#REF!</v>
      </c>
      <c r="U70" s="29" t="e">
        <f t="shared" si="9"/>
        <v>#REF!</v>
      </c>
      <c r="V70" s="29" t="e">
        <f aca="true" t="shared" si="17" ref="V70:V96">T70/(F70+1E-106)*100-100</f>
        <v>#REF!</v>
      </c>
      <c r="W70" s="29" t="e">
        <f t="shared" si="16"/>
        <v>#REF!</v>
      </c>
      <c r="X70" s="16"/>
      <c r="Y70" s="49"/>
      <c r="Z70" s="21"/>
      <c r="AA70" s="22"/>
    </row>
    <row r="71" spans="1:27" s="33" customFormat="1" ht="12" customHeight="1">
      <c r="A71" s="3" t="s">
        <v>31</v>
      </c>
      <c r="B71" s="4" t="s">
        <v>170</v>
      </c>
      <c r="C71" s="40" t="s">
        <v>51</v>
      </c>
      <c r="D71" s="216">
        <f aca="true" t="shared" si="18" ref="D71:I71">D74+D80+D86+D92</f>
        <v>0</v>
      </c>
      <c r="E71" s="224">
        <f t="shared" si="18"/>
        <v>0</v>
      </c>
      <c r="F71" s="216">
        <f t="shared" si="18"/>
        <v>0</v>
      </c>
      <c r="G71" s="224">
        <f t="shared" si="18"/>
        <v>0</v>
      </c>
      <c r="H71" s="401">
        <v>3.3</v>
      </c>
      <c r="I71" s="216">
        <f t="shared" si="18"/>
        <v>2.8</v>
      </c>
      <c r="J71" s="214">
        <f t="shared" si="6"/>
        <v>-0.5</v>
      </c>
      <c r="K71" s="401">
        <v>3.3</v>
      </c>
      <c r="L71" s="214">
        <f>K71/H71*100-100</f>
        <v>0</v>
      </c>
      <c r="M71" s="337">
        <f>I71</f>
        <v>2.8</v>
      </c>
      <c r="N71" s="214">
        <f t="shared" si="7"/>
        <v>0</v>
      </c>
      <c r="O71" s="214">
        <f t="shared" si="8"/>
        <v>-0.5</v>
      </c>
      <c r="P71" s="227">
        <f t="shared" si="15"/>
        <v>0</v>
      </c>
      <c r="Q71" s="227"/>
      <c r="R71" s="25" t="e">
        <f>#REF!+#REF!+#REF!+#REF!</f>
        <v>#REF!</v>
      </c>
      <c r="S71" s="7" t="e">
        <f>R71/(F71+1E-106)*100-100</f>
        <v>#REF!</v>
      </c>
      <c r="T71" s="25" t="e">
        <f>#REF!+#REF!+#REF!+#REF!</f>
        <v>#REF!</v>
      </c>
      <c r="U71" s="7" t="e">
        <f t="shared" si="9"/>
        <v>#REF!</v>
      </c>
      <c r="V71" s="7" t="e">
        <f t="shared" si="17"/>
        <v>#REF!</v>
      </c>
      <c r="W71" s="7" t="e">
        <f t="shared" si="16"/>
        <v>#REF!</v>
      </c>
      <c r="X71" s="8"/>
      <c r="Y71" s="50"/>
      <c r="AA71" s="34"/>
    </row>
    <row r="72" spans="1:27" ht="12" customHeight="1">
      <c r="A72" s="3"/>
      <c r="B72" s="4" t="s">
        <v>57</v>
      </c>
      <c r="C72" s="40"/>
      <c r="D72" s="141"/>
      <c r="E72" s="229"/>
      <c r="F72" s="141"/>
      <c r="G72" s="229"/>
      <c r="H72" s="229"/>
      <c r="I72" s="220"/>
      <c r="J72" s="214">
        <f t="shared" si="6"/>
        <v>0</v>
      </c>
      <c r="K72" s="229"/>
      <c r="L72" s="214"/>
      <c r="M72" s="337"/>
      <c r="N72" s="214"/>
      <c r="O72" s="214">
        <f t="shared" si="8"/>
        <v>0</v>
      </c>
      <c r="P72" s="223"/>
      <c r="Q72" s="217"/>
      <c r="R72" s="255"/>
      <c r="S72" s="256"/>
      <c r="T72" s="255"/>
      <c r="U72" s="256">
        <f aca="true" t="shared" si="19" ref="U72:U108">T72/(R72+1E-106)*100-100</f>
        <v>-100</v>
      </c>
      <c r="V72" s="256">
        <f t="shared" si="17"/>
        <v>-100</v>
      </c>
      <c r="W72" s="250">
        <f t="shared" si="16"/>
        <v>0</v>
      </c>
      <c r="X72" s="256"/>
      <c r="Y72" s="49"/>
      <c r="Z72" s="21"/>
      <c r="AA72" s="22"/>
    </row>
    <row r="73" spans="1:27" ht="12" customHeight="1">
      <c r="A73" s="310" t="s">
        <v>31</v>
      </c>
      <c r="B73" s="4" t="s">
        <v>52</v>
      </c>
      <c r="C73" s="40"/>
      <c r="D73" s="219"/>
      <c r="E73" s="214"/>
      <c r="F73" s="219"/>
      <c r="G73" s="214"/>
      <c r="H73" s="214"/>
      <c r="I73" s="216"/>
      <c r="J73" s="214">
        <f aca="true" t="shared" si="20" ref="J73:J136">I73-H73</f>
        <v>0</v>
      </c>
      <c r="K73" s="214"/>
      <c r="L73" s="214"/>
      <c r="M73" s="337"/>
      <c r="N73" s="214"/>
      <c r="O73" s="214">
        <f aca="true" t="shared" si="21" ref="O73:O136">M73-K73</f>
        <v>0</v>
      </c>
      <c r="P73" s="223"/>
      <c r="Q73" s="217"/>
      <c r="R73" s="257"/>
      <c r="S73" s="250"/>
      <c r="T73" s="257"/>
      <c r="U73" s="256">
        <f t="shared" si="19"/>
        <v>-100</v>
      </c>
      <c r="V73" s="256">
        <f t="shared" si="17"/>
        <v>-100</v>
      </c>
      <c r="W73" s="250">
        <f t="shared" si="16"/>
        <v>0</v>
      </c>
      <c r="X73" s="250"/>
      <c r="Y73" s="49"/>
      <c r="Z73" s="21"/>
      <c r="AA73" s="22"/>
    </row>
    <row r="74" spans="1:27" ht="12" customHeight="1">
      <c r="A74" s="12"/>
      <c r="B74" s="13" t="s">
        <v>58</v>
      </c>
      <c r="C74" s="40" t="s">
        <v>51</v>
      </c>
      <c r="D74" s="141"/>
      <c r="E74" s="229"/>
      <c r="F74" s="141"/>
      <c r="G74" s="229"/>
      <c r="H74" s="229">
        <v>3.3</v>
      </c>
      <c r="I74" s="220">
        <v>2.8</v>
      </c>
      <c r="J74" s="214">
        <f t="shared" si="20"/>
        <v>-0.5</v>
      </c>
      <c r="K74" s="229">
        <v>3.3</v>
      </c>
      <c r="L74" s="214">
        <f aca="true" t="shared" si="22" ref="L74:L133">K74/H74*100-100</f>
        <v>0</v>
      </c>
      <c r="M74" s="337">
        <f>I74</f>
        <v>2.8</v>
      </c>
      <c r="N74" s="214">
        <f aca="true" t="shared" si="23" ref="N74:N96">M74/I74*100-100</f>
        <v>0</v>
      </c>
      <c r="O74" s="214">
        <f t="shared" si="21"/>
        <v>-0.5</v>
      </c>
      <c r="P74" s="223">
        <f>N74-L74</f>
        <v>0</v>
      </c>
      <c r="Q74" s="217"/>
      <c r="R74" s="257"/>
      <c r="S74" s="250">
        <f>R74/(F74+1E-106)*100-100</f>
        <v>-100</v>
      </c>
      <c r="T74" s="257"/>
      <c r="U74" s="256">
        <f t="shared" si="19"/>
        <v>-100</v>
      </c>
      <c r="V74" s="256">
        <f t="shared" si="17"/>
        <v>-100</v>
      </c>
      <c r="W74" s="250">
        <f t="shared" si="16"/>
        <v>0</v>
      </c>
      <c r="X74" s="250"/>
      <c r="Y74" s="49"/>
      <c r="Z74" s="21"/>
      <c r="AA74" s="22"/>
    </row>
    <row r="75" spans="1:27" s="33" customFormat="1" ht="12" customHeight="1">
      <c r="A75" s="3"/>
      <c r="B75" s="4" t="s">
        <v>59</v>
      </c>
      <c r="C75" s="40" t="s">
        <v>60</v>
      </c>
      <c r="D75" s="220"/>
      <c r="E75" s="227">
        <f>(E112-E77*12*E78)/(E74+1E-107)</f>
        <v>0</v>
      </c>
      <c r="F75" s="220"/>
      <c r="G75" s="227">
        <f>(G112-G77*12*G78)/(G74+1E-107)</f>
        <v>0</v>
      </c>
      <c r="H75" s="401">
        <v>4.53</v>
      </c>
      <c r="I75" s="220">
        <f>1.18*3.19538</f>
        <v>3.7705484</v>
      </c>
      <c r="J75" s="214">
        <f t="shared" si="20"/>
        <v>-0.7594516000000002</v>
      </c>
      <c r="K75" s="401">
        <f>1.12*4.53</f>
        <v>5.073600000000001</v>
      </c>
      <c r="L75" s="214">
        <f t="shared" si="22"/>
        <v>12.000000000000014</v>
      </c>
      <c r="M75" s="337">
        <f>I75*1.12</f>
        <v>4.223014208</v>
      </c>
      <c r="N75" s="214">
        <f t="shared" si="23"/>
        <v>12.000000000000014</v>
      </c>
      <c r="O75" s="214">
        <f t="shared" si="21"/>
        <v>-0.8505857920000004</v>
      </c>
      <c r="P75" s="227">
        <f>N75-L75</f>
        <v>0</v>
      </c>
      <c r="Q75" s="227"/>
      <c r="R75" s="25"/>
      <c r="S75" s="7">
        <f>R75/(F75+1E-106)*100-100</f>
        <v>-100</v>
      </c>
      <c r="T75" s="25"/>
      <c r="U75" s="8">
        <f t="shared" si="19"/>
        <v>-100</v>
      </c>
      <c r="V75" s="8">
        <f t="shared" si="17"/>
        <v>-100</v>
      </c>
      <c r="W75" s="9">
        <f t="shared" si="16"/>
        <v>-12.000000000000014</v>
      </c>
      <c r="X75" s="395" t="s">
        <v>231</v>
      </c>
      <c r="Y75" s="50"/>
      <c r="AA75" s="34"/>
    </row>
    <row r="76" spans="1:27" ht="12" customHeight="1" hidden="1">
      <c r="A76" s="12"/>
      <c r="B76" s="13" t="s">
        <v>61</v>
      </c>
      <c r="C76" s="40" t="s">
        <v>62</v>
      </c>
      <c r="D76" s="141"/>
      <c r="E76" s="229"/>
      <c r="F76" s="141"/>
      <c r="G76" s="229"/>
      <c r="H76" s="229"/>
      <c r="I76" s="220"/>
      <c r="J76" s="214">
        <f t="shared" si="20"/>
        <v>0</v>
      </c>
      <c r="K76" s="229"/>
      <c r="L76" s="214" t="e">
        <f t="shared" si="22"/>
        <v>#DIV/0!</v>
      </c>
      <c r="M76" s="337" t="e">
        <f>L76/(I76+1E-133)*100-100</f>
        <v>#DIV/0!</v>
      </c>
      <c r="N76" s="214" t="e">
        <f t="shared" si="23"/>
        <v>#DIV/0!</v>
      </c>
      <c r="O76" s="214" t="e">
        <f t="shared" si="21"/>
        <v>#DIV/0!</v>
      </c>
      <c r="P76" s="223"/>
      <c r="Q76" s="217"/>
      <c r="R76" s="257"/>
      <c r="S76" s="250"/>
      <c r="T76" s="257"/>
      <c r="U76" s="256">
        <f t="shared" si="19"/>
        <v>-100</v>
      </c>
      <c r="V76" s="256">
        <f t="shared" si="17"/>
        <v>-100</v>
      </c>
      <c r="W76" s="250" t="e">
        <f t="shared" si="16"/>
        <v>#DIV/0!</v>
      </c>
      <c r="X76" s="250"/>
      <c r="Y76" s="49"/>
      <c r="Z76" s="21"/>
      <c r="AA76" s="22"/>
    </row>
    <row r="77" spans="1:27" ht="12" customHeight="1" hidden="1">
      <c r="A77" s="12"/>
      <c r="B77" s="13" t="s">
        <v>63</v>
      </c>
      <c r="C77" s="40" t="s">
        <v>64</v>
      </c>
      <c r="D77" s="141"/>
      <c r="E77" s="229"/>
      <c r="F77" s="141"/>
      <c r="G77" s="229"/>
      <c r="H77" s="229"/>
      <c r="I77" s="220"/>
      <c r="J77" s="214">
        <f t="shared" si="20"/>
        <v>0</v>
      </c>
      <c r="K77" s="229"/>
      <c r="L77" s="214" t="e">
        <f t="shared" si="22"/>
        <v>#DIV/0!</v>
      </c>
      <c r="M77" s="337" t="e">
        <f>L77/(I77+1E-133)*100-100</f>
        <v>#DIV/0!</v>
      </c>
      <c r="N77" s="214" t="e">
        <f t="shared" si="23"/>
        <v>#DIV/0!</v>
      </c>
      <c r="O77" s="214" t="e">
        <f t="shared" si="21"/>
        <v>#DIV/0!</v>
      </c>
      <c r="P77" s="223" t="e">
        <f aca="true" t="shared" si="24" ref="P77:P100">N77-L77</f>
        <v>#DIV/0!</v>
      </c>
      <c r="Q77" s="217"/>
      <c r="R77" s="257"/>
      <c r="S77" s="250">
        <f>R77/(F77+1E-106)*100-100</f>
        <v>-100</v>
      </c>
      <c r="T77" s="257"/>
      <c r="U77" s="256">
        <f t="shared" si="19"/>
        <v>-100</v>
      </c>
      <c r="V77" s="256">
        <f t="shared" si="17"/>
        <v>-100</v>
      </c>
      <c r="W77" s="250" t="e">
        <f t="shared" si="16"/>
        <v>#DIV/0!</v>
      </c>
      <c r="X77" s="250"/>
      <c r="Y77" s="49"/>
      <c r="Z77" s="21"/>
      <c r="AA77" s="22"/>
    </row>
    <row r="78" spans="1:27" ht="12" customHeight="1" hidden="1">
      <c r="A78" s="12"/>
      <c r="B78" s="13" t="s">
        <v>66</v>
      </c>
      <c r="C78" s="40" t="s">
        <v>67</v>
      </c>
      <c r="D78" s="141"/>
      <c r="E78" s="229"/>
      <c r="F78" s="141"/>
      <c r="G78" s="229"/>
      <c r="H78" s="229"/>
      <c r="I78" s="220"/>
      <c r="J78" s="214">
        <f t="shared" si="20"/>
        <v>0</v>
      </c>
      <c r="K78" s="229"/>
      <c r="L78" s="214" t="e">
        <f t="shared" si="22"/>
        <v>#DIV/0!</v>
      </c>
      <c r="M78" s="337" t="e">
        <f>L78/(I78+1E-133)*100-100</f>
        <v>#DIV/0!</v>
      </c>
      <c r="N78" s="214" t="e">
        <f t="shared" si="23"/>
        <v>#DIV/0!</v>
      </c>
      <c r="O78" s="214" t="e">
        <f t="shared" si="21"/>
        <v>#DIV/0!</v>
      </c>
      <c r="P78" s="223" t="e">
        <f t="shared" si="24"/>
        <v>#DIV/0!</v>
      </c>
      <c r="Q78" s="217"/>
      <c r="R78" s="257"/>
      <c r="S78" s="250">
        <f>R78/(F78+1E-106)*100-100</f>
        <v>-100</v>
      </c>
      <c r="T78" s="257"/>
      <c r="U78" s="256">
        <f t="shared" si="19"/>
        <v>-100</v>
      </c>
      <c r="V78" s="256">
        <f t="shared" si="17"/>
        <v>-100</v>
      </c>
      <c r="W78" s="250" t="e">
        <f t="shared" si="16"/>
        <v>#DIV/0!</v>
      </c>
      <c r="X78" s="250"/>
      <c r="Y78" s="49"/>
      <c r="Z78" s="21"/>
      <c r="AA78" s="22"/>
    </row>
    <row r="79" spans="1:27" ht="12" customHeight="1" hidden="1">
      <c r="A79" s="310" t="s">
        <v>31</v>
      </c>
      <c r="B79" s="4" t="s">
        <v>54</v>
      </c>
      <c r="C79" s="40"/>
      <c r="D79" s="219"/>
      <c r="E79" s="214"/>
      <c r="F79" s="219"/>
      <c r="G79" s="214"/>
      <c r="H79" s="214"/>
      <c r="I79" s="216"/>
      <c r="J79" s="214">
        <f t="shared" si="20"/>
        <v>0</v>
      </c>
      <c r="K79" s="214"/>
      <c r="L79" s="214" t="e">
        <f t="shared" si="22"/>
        <v>#DIV/0!</v>
      </c>
      <c r="M79" s="337"/>
      <c r="N79" s="214" t="e">
        <f t="shared" si="23"/>
        <v>#DIV/0!</v>
      </c>
      <c r="O79" s="214">
        <f t="shared" si="21"/>
        <v>0</v>
      </c>
      <c r="P79" s="223"/>
      <c r="Q79" s="223"/>
      <c r="R79" s="257"/>
      <c r="S79" s="250"/>
      <c r="T79" s="257"/>
      <c r="U79" s="256">
        <f t="shared" si="19"/>
        <v>-100</v>
      </c>
      <c r="V79" s="256">
        <f t="shared" si="17"/>
        <v>-100</v>
      </c>
      <c r="W79" s="250" t="e">
        <f t="shared" si="16"/>
        <v>#DIV/0!</v>
      </c>
      <c r="X79" s="250"/>
      <c r="Y79" s="49"/>
      <c r="Z79" s="21"/>
      <c r="AA79" s="22"/>
    </row>
    <row r="80" spans="1:27" ht="12" customHeight="1" hidden="1">
      <c r="A80" s="12"/>
      <c r="B80" s="13" t="s">
        <v>58</v>
      </c>
      <c r="C80" s="40" t="s">
        <v>51</v>
      </c>
      <c r="D80" s="141"/>
      <c r="E80" s="229"/>
      <c r="F80" s="141"/>
      <c r="G80" s="229"/>
      <c r="H80" s="229"/>
      <c r="I80" s="220"/>
      <c r="J80" s="214">
        <f t="shared" si="20"/>
        <v>0</v>
      </c>
      <c r="K80" s="229"/>
      <c r="L80" s="214" t="e">
        <f t="shared" si="22"/>
        <v>#DIV/0!</v>
      </c>
      <c r="M80" s="337" t="e">
        <f>L80/(I80+1E-133)*100-100</f>
        <v>#DIV/0!</v>
      </c>
      <c r="N80" s="214" t="e">
        <f t="shared" si="23"/>
        <v>#DIV/0!</v>
      </c>
      <c r="O80" s="214" t="e">
        <f t="shared" si="21"/>
        <v>#DIV/0!</v>
      </c>
      <c r="P80" s="223" t="e">
        <f t="shared" si="24"/>
        <v>#DIV/0!</v>
      </c>
      <c r="Q80" s="217"/>
      <c r="R80" s="257"/>
      <c r="S80" s="250">
        <f>R80/(F80+1E-106)*100-100</f>
        <v>-100</v>
      </c>
      <c r="T80" s="257"/>
      <c r="U80" s="256">
        <f t="shared" si="19"/>
        <v>-100</v>
      </c>
      <c r="V80" s="256">
        <f t="shared" si="17"/>
        <v>-100</v>
      </c>
      <c r="W80" s="250" t="e">
        <f t="shared" si="16"/>
        <v>#DIV/0!</v>
      </c>
      <c r="X80" s="250"/>
      <c r="Y80" s="49"/>
      <c r="Z80" s="21"/>
      <c r="AA80" s="22"/>
    </row>
    <row r="81" spans="1:27" s="33" customFormat="1" ht="12" customHeight="1" hidden="1">
      <c r="A81" s="3"/>
      <c r="B81" s="4" t="s">
        <v>59</v>
      </c>
      <c r="C81" s="40" t="s">
        <v>60</v>
      </c>
      <c r="D81" s="220"/>
      <c r="E81" s="227">
        <f>(E113-E83*12*E84)/(E80+1E-107)</f>
        <v>0</v>
      </c>
      <c r="F81" s="220"/>
      <c r="G81" s="227">
        <f>(G113-G83*12*G84)/(G80+1E-107)</f>
        <v>0</v>
      </c>
      <c r="H81" s="401"/>
      <c r="I81" s="220"/>
      <c r="J81" s="214">
        <f t="shared" si="20"/>
        <v>0</v>
      </c>
      <c r="K81" s="401"/>
      <c r="L81" s="214" t="e">
        <f t="shared" si="22"/>
        <v>#DIV/0!</v>
      </c>
      <c r="M81" s="337" t="e">
        <f>L81/(I81+1E-133)*100-100</f>
        <v>#DIV/0!</v>
      </c>
      <c r="N81" s="214" t="e">
        <f t="shared" si="23"/>
        <v>#DIV/0!</v>
      </c>
      <c r="O81" s="214" t="e">
        <f t="shared" si="21"/>
        <v>#DIV/0!</v>
      </c>
      <c r="P81" s="227" t="e">
        <f t="shared" si="24"/>
        <v>#DIV/0!</v>
      </c>
      <c r="Q81" s="227"/>
      <c r="R81" s="25"/>
      <c r="S81" s="7">
        <f>R81/(F81+1E-106)*100-100</f>
        <v>-100</v>
      </c>
      <c r="T81" s="25"/>
      <c r="U81" s="8">
        <f t="shared" si="19"/>
        <v>-100</v>
      </c>
      <c r="V81" s="8">
        <f t="shared" si="17"/>
        <v>-100</v>
      </c>
      <c r="W81" s="9" t="e">
        <f t="shared" si="16"/>
        <v>#DIV/0!</v>
      </c>
      <c r="X81" s="9"/>
      <c r="Y81" s="50"/>
      <c r="AA81" s="34"/>
    </row>
    <row r="82" spans="1:27" ht="12" customHeight="1" hidden="1">
      <c r="A82" s="12"/>
      <c r="B82" s="13" t="s">
        <v>61</v>
      </c>
      <c r="C82" s="40" t="s">
        <v>62</v>
      </c>
      <c r="D82" s="141"/>
      <c r="E82" s="229"/>
      <c r="F82" s="141"/>
      <c r="G82" s="229"/>
      <c r="H82" s="229"/>
      <c r="I82" s="220"/>
      <c r="J82" s="214">
        <f t="shared" si="20"/>
        <v>0</v>
      </c>
      <c r="K82" s="229"/>
      <c r="L82" s="214" t="e">
        <f t="shared" si="22"/>
        <v>#DIV/0!</v>
      </c>
      <c r="M82" s="337" t="e">
        <f>L82/(I82+1E-133)*100-100</f>
        <v>#DIV/0!</v>
      </c>
      <c r="N82" s="214" t="e">
        <f t="shared" si="23"/>
        <v>#DIV/0!</v>
      </c>
      <c r="O82" s="214" t="e">
        <f t="shared" si="21"/>
        <v>#DIV/0!</v>
      </c>
      <c r="P82" s="223" t="e">
        <f t="shared" si="24"/>
        <v>#DIV/0!</v>
      </c>
      <c r="Q82" s="217"/>
      <c r="R82" s="257"/>
      <c r="S82" s="250"/>
      <c r="T82" s="257"/>
      <c r="U82" s="256">
        <f t="shared" si="19"/>
        <v>-100</v>
      </c>
      <c r="V82" s="256">
        <f t="shared" si="17"/>
        <v>-100</v>
      </c>
      <c r="W82" s="250" t="e">
        <f t="shared" si="16"/>
        <v>#DIV/0!</v>
      </c>
      <c r="X82" s="250"/>
      <c r="Y82" s="49"/>
      <c r="Z82" s="21"/>
      <c r="AA82" s="22"/>
    </row>
    <row r="83" spans="1:27" ht="12" customHeight="1" hidden="1">
      <c r="A83" s="12"/>
      <c r="B83" s="13" t="s">
        <v>63</v>
      </c>
      <c r="C83" s="40" t="s">
        <v>64</v>
      </c>
      <c r="D83" s="141"/>
      <c r="E83" s="229"/>
      <c r="F83" s="141"/>
      <c r="G83" s="229"/>
      <c r="H83" s="229"/>
      <c r="I83" s="220"/>
      <c r="J83" s="214">
        <f t="shared" si="20"/>
        <v>0</v>
      </c>
      <c r="K83" s="229"/>
      <c r="L83" s="214" t="e">
        <f t="shared" si="22"/>
        <v>#DIV/0!</v>
      </c>
      <c r="M83" s="337" t="e">
        <f>L83/(I83+1E-133)*100-100</f>
        <v>#DIV/0!</v>
      </c>
      <c r="N83" s="214" t="e">
        <f t="shared" si="23"/>
        <v>#DIV/0!</v>
      </c>
      <c r="O83" s="214" t="e">
        <f t="shared" si="21"/>
        <v>#DIV/0!</v>
      </c>
      <c r="P83" s="223" t="e">
        <f t="shared" si="24"/>
        <v>#DIV/0!</v>
      </c>
      <c r="Q83" s="217"/>
      <c r="R83" s="257"/>
      <c r="S83" s="250">
        <f>R83/(F83+1E-106)*100-100</f>
        <v>-100</v>
      </c>
      <c r="T83" s="257"/>
      <c r="U83" s="256">
        <f t="shared" si="19"/>
        <v>-100</v>
      </c>
      <c r="V83" s="256">
        <f t="shared" si="17"/>
        <v>-100</v>
      </c>
      <c r="W83" s="250" t="e">
        <f t="shared" si="16"/>
        <v>#DIV/0!</v>
      </c>
      <c r="X83" s="250"/>
      <c r="Y83" s="49"/>
      <c r="Z83" s="21"/>
      <c r="AA83" s="22"/>
    </row>
    <row r="84" spans="1:27" ht="12" customHeight="1" hidden="1">
      <c r="A84" s="12"/>
      <c r="B84" s="13" t="s">
        <v>66</v>
      </c>
      <c r="C84" s="40" t="s">
        <v>67</v>
      </c>
      <c r="D84" s="141"/>
      <c r="E84" s="229"/>
      <c r="F84" s="141"/>
      <c r="G84" s="229"/>
      <c r="H84" s="229"/>
      <c r="I84" s="220"/>
      <c r="J84" s="214">
        <f t="shared" si="20"/>
        <v>0</v>
      </c>
      <c r="K84" s="229"/>
      <c r="L84" s="214" t="e">
        <f t="shared" si="22"/>
        <v>#DIV/0!</v>
      </c>
      <c r="M84" s="337" t="e">
        <f>L84/(I84+1E-133)*100-100</f>
        <v>#DIV/0!</v>
      </c>
      <c r="N84" s="214" t="e">
        <f t="shared" si="23"/>
        <v>#DIV/0!</v>
      </c>
      <c r="O84" s="214" t="e">
        <f t="shared" si="21"/>
        <v>#DIV/0!</v>
      </c>
      <c r="P84" s="223" t="e">
        <f t="shared" si="24"/>
        <v>#DIV/0!</v>
      </c>
      <c r="Q84" s="217"/>
      <c r="R84" s="257"/>
      <c r="S84" s="250">
        <f>R84/(F84+1E-106)*100-100</f>
        <v>-100</v>
      </c>
      <c r="T84" s="257"/>
      <c r="U84" s="256">
        <f t="shared" si="19"/>
        <v>-100</v>
      </c>
      <c r="V84" s="256">
        <f t="shared" si="17"/>
        <v>-100</v>
      </c>
      <c r="W84" s="250" t="e">
        <f t="shared" si="16"/>
        <v>#DIV/0!</v>
      </c>
      <c r="X84" s="250"/>
      <c r="Y84" s="49"/>
      <c r="Z84" s="21"/>
      <c r="AA84" s="22"/>
    </row>
    <row r="85" spans="1:27" ht="12" customHeight="1" hidden="1">
      <c r="A85" s="12" t="s">
        <v>31</v>
      </c>
      <c r="B85" s="4" t="s">
        <v>55</v>
      </c>
      <c r="C85" s="40"/>
      <c r="D85" s="219"/>
      <c r="E85" s="214"/>
      <c r="F85" s="219"/>
      <c r="G85" s="214"/>
      <c r="H85" s="214"/>
      <c r="I85" s="216"/>
      <c r="J85" s="214">
        <f t="shared" si="20"/>
        <v>0</v>
      </c>
      <c r="K85" s="214"/>
      <c r="L85" s="214" t="e">
        <f t="shared" si="22"/>
        <v>#DIV/0!</v>
      </c>
      <c r="M85" s="337"/>
      <c r="N85" s="214" t="e">
        <f t="shared" si="23"/>
        <v>#DIV/0!</v>
      </c>
      <c r="O85" s="214">
        <f t="shared" si="21"/>
        <v>0</v>
      </c>
      <c r="P85" s="223"/>
      <c r="Q85" s="217"/>
      <c r="R85" s="257"/>
      <c r="S85" s="250"/>
      <c r="T85" s="257"/>
      <c r="U85" s="256">
        <f t="shared" si="19"/>
        <v>-100</v>
      </c>
      <c r="V85" s="256">
        <f t="shared" si="17"/>
        <v>-100</v>
      </c>
      <c r="W85" s="250" t="e">
        <f t="shared" si="16"/>
        <v>#DIV/0!</v>
      </c>
      <c r="X85" s="250"/>
      <c r="Y85" s="49"/>
      <c r="Z85" s="21"/>
      <c r="AA85" s="22"/>
    </row>
    <row r="86" spans="1:27" ht="12" customHeight="1" hidden="1">
      <c r="A86" s="12"/>
      <c r="B86" s="13" t="s">
        <v>58</v>
      </c>
      <c r="C86" s="40" t="s">
        <v>51</v>
      </c>
      <c r="D86" s="141"/>
      <c r="E86" s="217"/>
      <c r="F86" s="141"/>
      <c r="G86" s="229"/>
      <c r="H86" s="229"/>
      <c r="I86" s="220"/>
      <c r="J86" s="214">
        <f t="shared" si="20"/>
        <v>0</v>
      </c>
      <c r="K86" s="229"/>
      <c r="L86" s="214" t="e">
        <f t="shared" si="22"/>
        <v>#DIV/0!</v>
      </c>
      <c r="M86" s="337" t="e">
        <f>L86/(I86+1E-133)*100-100</f>
        <v>#DIV/0!</v>
      </c>
      <c r="N86" s="214" t="e">
        <f t="shared" si="23"/>
        <v>#DIV/0!</v>
      </c>
      <c r="O86" s="214" t="e">
        <f t="shared" si="21"/>
        <v>#DIV/0!</v>
      </c>
      <c r="P86" s="223" t="e">
        <f t="shared" si="24"/>
        <v>#DIV/0!</v>
      </c>
      <c r="Q86" s="217"/>
      <c r="R86" s="257"/>
      <c r="S86" s="250">
        <f>R86/(F86+1E-106)*100-100</f>
        <v>-100</v>
      </c>
      <c r="T86" s="257"/>
      <c r="U86" s="256">
        <f t="shared" si="19"/>
        <v>-100</v>
      </c>
      <c r="V86" s="256">
        <f t="shared" si="17"/>
        <v>-100</v>
      </c>
      <c r="W86" s="250" t="e">
        <f t="shared" si="16"/>
        <v>#DIV/0!</v>
      </c>
      <c r="X86" s="250"/>
      <c r="Y86" s="49"/>
      <c r="Z86" s="21"/>
      <c r="AA86" s="22"/>
    </row>
    <row r="87" spans="1:27" s="33" customFormat="1" ht="12" customHeight="1" hidden="1">
      <c r="A87" s="3"/>
      <c r="B87" s="4" t="s">
        <v>59</v>
      </c>
      <c r="C87" s="40" t="s">
        <v>60</v>
      </c>
      <c r="D87" s="220"/>
      <c r="E87" s="227">
        <f>(E114-E89*12*E90)/(E86+1E-107)</f>
        <v>0</v>
      </c>
      <c r="F87" s="220"/>
      <c r="G87" s="227">
        <f>(G114-G89*12*G90)/(G86+1E-107)</f>
        <v>0</v>
      </c>
      <c r="H87" s="401"/>
      <c r="I87" s="220"/>
      <c r="J87" s="214">
        <f t="shared" si="20"/>
        <v>0</v>
      </c>
      <c r="K87" s="401"/>
      <c r="L87" s="214" t="e">
        <f t="shared" si="22"/>
        <v>#DIV/0!</v>
      </c>
      <c r="M87" s="337" t="e">
        <f>L87/(I87+1E-133)*100-100</f>
        <v>#DIV/0!</v>
      </c>
      <c r="N87" s="214" t="e">
        <f t="shared" si="23"/>
        <v>#DIV/0!</v>
      </c>
      <c r="O87" s="214" t="e">
        <f t="shared" si="21"/>
        <v>#DIV/0!</v>
      </c>
      <c r="P87" s="227" t="e">
        <f t="shared" si="24"/>
        <v>#DIV/0!</v>
      </c>
      <c r="Q87" s="227"/>
      <c r="R87" s="25"/>
      <c r="S87" s="7">
        <f>R87/(F87+1E-106)*100-100</f>
        <v>-100</v>
      </c>
      <c r="T87" s="25"/>
      <c r="U87" s="8">
        <f t="shared" si="19"/>
        <v>-100</v>
      </c>
      <c r="V87" s="8">
        <f t="shared" si="17"/>
        <v>-100</v>
      </c>
      <c r="W87" s="9" t="e">
        <f t="shared" si="16"/>
        <v>#DIV/0!</v>
      </c>
      <c r="X87" s="7"/>
      <c r="Y87" s="50"/>
      <c r="AA87" s="34"/>
    </row>
    <row r="88" spans="1:27" ht="12" customHeight="1" hidden="1">
      <c r="A88" s="12"/>
      <c r="B88" s="13" t="s">
        <v>61</v>
      </c>
      <c r="C88" s="40" t="s">
        <v>62</v>
      </c>
      <c r="D88" s="141"/>
      <c r="E88" s="229"/>
      <c r="F88" s="141"/>
      <c r="G88" s="229"/>
      <c r="H88" s="229"/>
      <c r="I88" s="220"/>
      <c r="J88" s="214">
        <f t="shared" si="20"/>
        <v>0</v>
      </c>
      <c r="K88" s="229"/>
      <c r="L88" s="214" t="e">
        <f t="shared" si="22"/>
        <v>#DIV/0!</v>
      </c>
      <c r="M88" s="337" t="e">
        <f>L88/(I88+1E-133)*100-100</f>
        <v>#DIV/0!</v>
      </c>
      <c r="N88" s="214" t="e">
        <f t="shared" si="23"/>
        <v>#DIV/0!</v>
      </c>
      <c r="O88" s="214" t="e">
        <f t="shared" si="21"/>
        <v>#DIV/0!</v>
      </c>
      <c r="P88" s="223" t="e">
        <f t="shared" si="24"/>
        <v>#DIV/0!</v>
      </c>
      <c r="Q88" s="217"/>
      <c r="R88" s="257"/>
      <c r="S88" s="250"/>
      <c r="T88" s="257"/>
      <c r="U88" s="256">
        <f t="shared" si="19"/>
        <v>-100</v>
      </c>
      <c r="V88" s="256">
        <f t="shared" si="17"/>
        <v>-100</v>
      </c>
      <c r="W88" s="250" t="e">
        <f t="shared" si="16"/>
        <v>#DIV/0!</v>
      </c>
      <c r="X88" s="250"/>
      <c r="Y88" s="49"/>
      <c r="Z88" s="21"/>
      <c r="AA88" s="22"/>
    </row>
    <row r="89" spans="1:27" ht="12" customHeight="1" hidden="1">
      <c r="A89" s="12"/>
      <c r="B89" s="13" t="s">
        <v>63</v>
      </c>
      <c r="C89" s="40" t="s">
        <v>64</v>
      </c>
      <c r="D89" s="141"/>
      <c r="E89" s="229"/>
      <c r="F89" s="141"/>
      <c r="G89" s="229"/>
      <c r="H89" s="229"/>
      <c r="I89" s="220"/>
      <c r="J89" s="214">
        <f t="shared" si="20"/>
        <v>0</v>
      </c>
      <c r="K89" s="229"/>
      <c r="L89" s="214" t="e">
        <f t="shared" si="22"/>
        <v>#DIV/0!</v>
      </c>
      <c r="M89" s="337" t="e">
        <f>L89/(I89+1E-133)*100-100</f>
        <v>#DIV/0!</v>
      </c>
      <c r="N89" s="214" t="e">
        <f t="shared" si="23"/>
        <v>#DIV/0!</v>
      </c>
      <c r="O89" s="214" t="e">
        <f t="shared" si="21"/>
        <v>#DIV/0!</v>
      </c>
      <c r="P89" s="223" t="e">
        <f t="shared" si="24"/>
        <v>#DIV/0!</v>
      </c>
      <c r="Q89" s="217"/>
      <c r="R89" s="257"/>
      <c r="S89" s="250">
        <f>R89/(F89+1E-106)*100-100</f>
        <v>-100</v>
      </c>
      <c r="T89" s="257"/>
      <c r="U89" s="256">
        <f t="shared" si="19"/>
        <v>-100</v>
      </c>
      <c r="V89" s="256">
        <f t="shared" si="17"/>
        <v>-100</v>
      </c>
      <c r="W89" s="250" t="e">
        <f t="shared" si="16"/>
        <v>#DIV/0!</v>
      </c>
      <c r="X89" s="250"/>
      <c r="Y89" s="49"/>
      <c r="Z89" s="21"/>
      <c r="AA89" s="22"/>
    </row>
    <row r="90" spans="1:27" ht="12" customHeight="1" hidden="1">
      <c r="A90" s="12"/>
      <c r="B90" s="13" t="s">
        <v>66</v>
      </c>
      <c r="C90" s="40" t="s">
        <v>67</v>
      </c>
      <c r="D90" s="141"/>
      <c r="E90" s="229"/>
      <c r="F90" s="141"/>
      <c r="G90" s="229"/>
      <c r="H90" s="229"/>
      <c r="I90" s="220"/>
      <c r="J90" s="214">
        <f t="shared" si="20"/>
        <v>0</v>
      </c>
      <c r="K90" s="229"/>
      <c r="L90" s="214" t="e">
        <f t="shared" si="22"/>
        <v>#DIV/0!</v>
      </c>
      <c r="M90" s="337" t="e">
        <f>L90/(I90+1E-133)*100-100</f>
        <v>#DIV/0!</v>
      </c>
      <c r="N90" s="214" t="e">
        <f t="shared" si="23"/>
        <v>#DIV/0!</v>
      </c>
      <c r="O90" s="214" t="e">
        <f t="shared" si="21"/>
        <v>#DIV/0!</v>
      </c>
      <c r="P90" s="223" t="e">
        <f t="shared" si="24"/>
        <v>#DIV/0!</v>
      </c>
      <c r="Q90" s="217"/>
      <c r="R90" s="257"/>
      <c r="S90" s="250">
        <f>R90/(F90+1E-106)*100-100</f>
        <v>-100</v>
      </c>
      <c r="T90" s="257"/>
      <c r="U90" s="256">
        <f t="shared" si="19"/>
        <v>-100</v>
      </c>
      <c r="V90" s="256">
        <f t="shared" si="17"/>
        <v>-100</v>
      </c>
      <c r="W90" s="250" t="e">
        <f t="shared" si="16"/>
        <v>#DIV/0!</v>
      </c>
      <c r="X90" s="250"/>
      <c r="Y90" s="49"/>
      <c r="Z90" s="21"/>
      <c r="AA90" s="22"/>
    </row>
    <row r="91" spans="1:27" ht="12" customHeight="1" hidden="1">
      <c r="A91" s="310" t="s">
        <v>31</v>
      </c>
      <c r="B91" s="4" t="s">
        <v>56</v>
      </c>
      <c r="C91" s="40"/>
      <c r="D91" s="219"/>
      <c r="E91" s="214"/>
      <c r="F91" s="219"/>
      <c r="G91" s="214"/>
      <c r="H91" s="214"/>
      <c r="I91" s="216"/>
      <c r="J91" s="214">
        <f t="shared" si="20"/>
        <v>0</v>
      </c>
      <c r="K91" s="214"/>
      <c r="L91" s="214" t="e">
        <f t="shared" si="22"/>
        <v>#DIV/0!</v>
      </c>
      <c r="M91" s="337"/>
      <c r="N91" s="214" t="e">
        <f t="shared" si="23"/>
        <v>#DIV/0!</v>
      </c>
      <c r="O91" s="214">
        <f t="shared" si="21"/>
        <v>0</v>
      </c>
      <c r="P91" s="223"/>
      <c r="Q91" s="217"/>
      <c r="R91" s="257"/>
      <c r="S91" s="250"/>
      <c r="T91" s="257"/>
      <c r="U91" s="256">
        <f t="shared" si="19"/>
        <v>-100</v>
      </c>
      <c r="V91" s="256">
        <f t="shared" si="17"/>
        <v>-100</v>
      </c>
      <c r="W91" s="250" t="e">
        <f t="shared" si="16"/>
        <v>#DIV/0!</v>
      </c>
      <c r="X91" s="250"/>
      <c r="Y91" s="49"/>
      <c r="Z91" s="21"/>
      <c r="AA91" s="22"/>
    </row>
    <row r="92" spans="1:27" ht="12" customHeight="1" hidden="1">
      <c r="A92" s="12"/>
      <c r="B92" s="13" t="s">
        <v>58</v>
      </c>
      <c r="C92" s="40" t="s">
        <v>51</v>
      </c>
      <c r="D92" s="141"/>
      <c r="E92" s="229"/>
      <c r="F92" s="141"/>
      <c r="G92" s="229"/>
      <c r="H92" s="229"/>
      <c r="I92" s="220"/>
      <c r="J92" s="214">
        <f t="shared" si="20"/>
        <v>0</v>
      </c>
      <c r="K92" s="229"/>
      <c r="L92" s="214" t="e">
        <f t="shared" si="22"/>
        <v>#DIV/0!</v>
      </c>
      <c r="M92" s="337" t="e">
        <f>L92/(I92+1E-133)*100-100</f>
        <v>#DIV/0!</v>
      </c>
      <c r="N92" s="214" t="e">
        <f t="shared" si="23"/>
        <v>#DIV/0!</v>
      </c>
      <c r="O92" s="214" t="e">
        <f t="shared" si="21"/>
        <v>#DIV/0!</v>
      </c>
      <c r="P92" s="223" t="e">
        <f t="shared" si="24"/>
        <v>#DIV/0!</v>
      </c>
      <c r="Q92" s="217"/>
      <c r="R92" s="257"/>
      <c r="S92" s="250">
        <f>R92/(F92+1E-106)*100-100</f>
        <v>-100</v>
      </c>
      <c r="T92" s="257"/>
      <c r="U92" s="256">
        <f t="shared" si="19"/>
        <v>-100</v>
      </c>
      <c r="V92" s="256">
        <f t="shared" si="17"/>
        <v>-100</v>
      </c>
      <c r="W92" s="250" t="e">
        <f t="shared" si="16"/>
        <v>#DIV/0!</v>
      </c>
      <c r="X92" s="250"/>
      <c r="Y92" s="49"/>
      <c r="Z92" s="21"/>
      <c r="AA92" s="22"/>
    </row>
    <row r="93" spans="1:27" s="33" customFormat="1" ht="12" customHeight="1" hidden="1">
      <c r="A93" s="3"/>
      <c r="B93" s="4" t="s">
        <v>59</v>
      </c>
      <c r="C93" s="40" t="s">
        <v>60</v>
      </c>
      <c r="D93" s="220"/>
      <c r="E93" s="227">
        <f>(E115-E95*12*E96)/(E92+1E-107)</f>
        <v>0</v>
      </c>
      <c r="F93" s="220"/>
      <c r="G93" s="227">
        <f>(G115-G95*12*G96)/(G92+1E-107)</f>
        <v>0</v>
      </c>
      <c r="H93" s="401"/>
      <c r="I93" s="220"/>
      <c r="J93" s="214">
        <f t="shared" si="20"/>
        <v>0</v>
      </c>
      <c r="K93" s="401"/>
      <c r="L93" s="214" t="e">
        <f t="shared" si="22"/>
        <v>#DIV/0!</v>
      </c>
      <c r="M93" s="337" t="e">
        <f>L93/(I93+1E-133)*100-100</f>
        <v>#DIV/0!</v>
      </c>
      <c r="N93" s="214" t="e">
        <f t="shared" si="23"/>
        <v>#DIV/0!</v>
      </c>
      <c r="O93" s="214" t="e">
        <f t="shared" si="21"/>
        <v>#DIV/0!</v>
      </c>
      <c r="P93" s="227" t="e">
        <f t="shared" si="24"/>
        <v>#DIV/0!</v>
      </c>
      <c r="Q93" s="227"/>
      <c r="R93" s="25"/>
      <c r="S93" s="7">
        <f>R93/(F93+1E-106)*100-100</f>
        <v>-100</v>
      </c>
      <c r="T93" s="25"/>
      <c r="U93" s="8">
        <f t="shared" si="19"/>
        <v>-100</v>
      </c>
      <c r="V93" s="8">
        <f t="shared" si="17"/>
        <v>-100</v>
      </c>
      <c r="W93" s="9" t="e">
        <f t="shared" si="16"/>
        <v>#DIV/0!</v>
      </c>
      <c r="X93" s="9"/>
      <c r="Y93" s="50"/>
      <c r="AA93" s="34"/>
    </row>
    <row r="94" spans="1:27" ht="12" customHeight="1" hidden="1">
      <c r="A94" s="12"/>
      <c r="B94" s="13" t="s">
        <v>61</v>
      </c>
      <c r="C94" s="40" t="s">
        <v>62</v>
      </c>
      <c r="D94" s="141"/>
      <c r="E94" s="229"/>
      <c r="F94" s="141"/>
      <c r="G94" s="229"/>
      <c r="H94" s="229"/>
      <c r="I94" s="220"/>
      <c r="J94" s="214">
        <f t="shared" si="20"/>
        <v>0</v>
      </c>
      <c r="K94" s="229"/>
      <c r="L94" s="214" t="e">
        <f t="shared" si="22"/>
        <v>#DIV/0!</v>
      </c>
      <c r="M94" s="337" t="e">
        <f>L94/(I94+1E-133)*100-100</f>
        <v>#DIV/0!</v>
      </c>
      <c r="N94" s="214" t="e">
        <f t="shared" si="23"/>
        <v>#DIV/0!</v>
      </c>
      <c r="O94" s="214" t="e">
        <f t="shared" si="21"/>
        <v>#DIV/0!</v>
      </c>
      <c r="P94" s="223" t="e">
        <f t="shared" si="24"/>
        <v>#DIV/0!</v>
      </c>
      <c r="Q94" s="217"/>
      <c r="R94" s="257"/>
      <c r="S94" s="250"/>
      <c r="T94" s="257"/>
      <c r="U94" s="256">
        <f t="shared" si="19"/>
        <v>-100</v>
      </c>
      <c r="V94" s="256">
        <f t="shared" si="17"/>
        <v>-100</v>
      </c>
      <c r="W94" s="250" t="e">
        <f t="shared" si="16"/>
        <v>#DIV/0!</v>
      </c>
      <c r="X94" s="250"/>
      <c r="Y94" s="49"/>
      <c r="Z94" s="21"/>
      <c r="AA94" s="22"/>
    </row>
    <row r="95" spans="1:27" ht="12" customHeight="1" hidden="1">
      <c r="A95" s="12"/>
      <c r="B95" s="13" t="s">
        <v>63</v>
      </c>
      <c r="C95" s="40" t="s">
        <v>64</v>
      </c>
      <c r="D95" s="141"/>
      <c r="E95" s="229"/>
      <c r="F95" s="141"/>
      <c r="G95" s="229"/>
      <c r="H95" s="229"/>
      <c r="I95" s="220"/>
      <c r="J95" s="214">
        <f t="shared" si="20"/>
        <v>0</v>
      </c>
      <c r="K95" s="229"/>
      <c r="L95" s="214" t="e">
        <f t="shared" si="22"/>
        <v>#DIV/0!</v>
      </c>
      <c r="M95" s="337" t="e">
        <f>L95/(I95+1E-133)*100-100</f>
        <v>#DIV/0!</v>
      </c>
      <c r="N95" s="214" t="e">
        <f t="shared" si="23"/>
        <v>#DIV/0!</v>
      </c>
      <c r="O95" s="214" t="e">
        <f t="shared" si="21"/>
        <v>#DIV/0!</v>
      </c>
      <c r="P95" s="223" t="e">
        <f t="shared" si="24"/>
        <v>#DIV/0!</v>
      </c>
      <c r="Q95" s="217"/>
      <c r="R95" s="257"/>
      <c r="S95" s="250">
        <f>R95/(F95+1E-106)*100-100</f>
        <v>-100</v>
      </c>
      <c r="T95" s="257"/>
      <c r="U95" s="256">
        <f t="shared" si="19"/>
        <v>-100</v>
      </c>
      <c r="V95" s="256">
        <f t="shared" si="17"/>
        <v>-100</v>
      </c>
      <c r="W95" s="250" t="e">
        <f t="shared" si="16"/>
        <v>#DIV/0!</v>
      </c>
      <c r="X95" s="250"/>
      <c r="Y95" s="49"/>
      <c r="Z95" s="21"/>
      <c r="AA95" s="22"/>
    </row>
    <row r="96" spans="1:27" ht="12" customHeight="1" hidden="1">
      <c r="A96" s="12"/>
      <c r="B96" s="13" t="s">
        <v>66</v>
      </c>
      <c r="C96" s="40" t="s">
        <v>67</v>
      </c>
      <c r="D96" s="141"/>
      <c r="E96" s="229"/>
      <c r="F96" s="141"/>
      <c r="G96" s="229"/>
      <c r="H96" s="229"/>
      <c r="I96" s="220"/>
      <c r="J96" s="214">
        <f t="shared" si="20"/>
        <v>0</v>
      </c>
      <c r="K96" s="229"/>
      <c r="L96" s="214" t="e">
        <f t="shared" si="22"/>
        <v>#DIV/0!</v>
      </c>
      <c r="M96" s="337" t="e">
        <f>L96/(I96+1E-133)*100-100</f>
        <v>#DIV/0!</v>
      </c>
      <c r="N96" s="214" t="e">
        <f t="shared" si="23"/>
        <v>#DIV/0!</v>
      </c>
      <c r="O96" s="214" t="e">
        <f t="shared" si="21"/>
        <v>#DIV/0!</v>
      </c>
      <c r="P96" s="223" t="e">
        <f t="shared" si="24"/>
        <v>#DIV/0!</v>
      </c>
      <c r="Q96" s="217"/>
      <c r="R96" s="257"/>
      <c r="S96" s="250">
        <f>R96/(F96+1E-106)*100-100</f>
        <v>-100</v>
      </c>
      <c r="T96" s="257"/>
      <c r="U96" s="256">
        <f t="shared" si="19"/>
        <v>-100</v>
      </c>
      <c r="V96" s="256">
        <f t="shared" si="17"/>
        <v>-100</v>
      </c>
      <c r="W96" s="250" t="e">
        <f t="shared" si="16"/>
        <v>#DIV/0!</v>
      </c>
      <c r="X96" s="250"/>
      <c r="Y96" s="49"/>
      <c r="Z96" s="21"/>
      <c r="AA96" s="22"/>
    </row>
    <row r="97" spans="1:27" ht="12" customHeight="1">
      <c r="A97" s="51">
        <v>9</v>
      </c>
      <c r="B97" s="52" t="s">
        <v>68</v>
      </c>
      <c r="C97" s="163"/>
      <c r="D97" s="219"/>
      <c r="E97" s="219"/>
      <c r="F97" s="219"/>
      <c r="G97" s="219"/>
      <c r="H97" s="219"/>
      <c r="I97" s="216"/>
      <c r="J97" s="336">
        <f t="shared" si="20"/>
        <v>0</v>
      </c>
      <c r="K97" s="219"/>
      <c r="L97" s="336"/>
      <c r="M97" s="337"/>
      <c r="N97" s="336"/>
      <c r="O97" s="336">
        <f t="shared" si="21"/>
        <v>0</v>
      </c>
      <c r="P97" s="219"/>
      <c r="Q97" s="141"/>
      <c r="R97" s="258"/>
      <c r="S97" s="259"/>
      <c r="T97" s="258"/>
      <c r="U97" s="260"/>
      <c r="V97" s="260"/>
      <c r="W97" s="261">
        <f t="shared" si="16"/>
        <v>0</v>
      </c>
      <c r="X97" s="259"/>
      <c r="Y97" s="49"/>
      <c r="Z97" s="21"/>
      <c r="AA97" s="22"/>
    </row>
    <row r="98" spans="1:27" ht="12" customHeight="1">
      <c r="A98" s="12"/>
      <c r="B98" s="13" t="s">
        <v>69</v>
      </c>
      <c r="C98" s="40" t="s">
        <v>70</v>
      </c>
      <c r="D98" s="141"/>
      <c r="E98" s="214">
        <f>E99*1000/(E8+1E-104)</f>
        <v>0</v>
      </c>
      <c r="F98" s="141"/>
      <c r="G98" s="214">
        <f>G99*1000/(G8+1E-104)</f>
        <v>0</v>
      </c>
      <c r="H98" s="401">
        <v>0.3</v>
      </c>
      <c r="I98" s="220">
        <f>H98</f>
        <v>0.3</v>
      </c>
      <c r="J98" s="214">
        <f t="shared" si="20"/>
        <v>0</v>
      </c>
      <c r="K98" s="401">
        <v>0.3</v>
      </c>
      <c r="L98" s="214">
        <f t="shared" si="22"/>
        <v>0</v>
      </c>
      <c r="M98" s="337">
        <f>I98</f>
        <v>0.3</v>
      </c>
      <c r="N98" s="214">
        <f>M98/I98*100-100</f>
        <v>0</v>
      </c>
      <c r="O98" s="214">
        <f t="shared" si="21"/>
        <v>0</v>
      </c>
      <c r="P98" s="223">
        <f t="shared" si="24"/>
        <v>0</v>
      </c>
      <c r="Q98" s="223"/>
      <c r="R98" s="38">
        <f>F98</f>
        <v>0</v>
      </c>
      <c r="S98" s="16">
        <f>R98/(F98+1E-106)*100-100</f>
        <v>-100</v>
      </c>
      <c r="T98" s="38">
        <f>R98</f>
        <v>0</v>
      </c>
      <c r="U98" s="17">
        <f t="shared" si="19"/>
        <v>-100</v>
      </c>
      <c r="V98" s="17">
        <f>T98/(F98+1E-106)*100-100</f>
        <v>-100</v>
      </c>
      <c r="W98" s="16">
        <f>T98-L98</f>
        <v>0</v>
      </c>
      <c r="X98" s="16"/>
      <c r="Y98" s="49"/>
      <c r="Z98" s="21"/>
      <c r="AA98" s="22"/>
    </row>
    <row r="99" spans="1:25" ht="12" customHeight="1">
      <c r="A99" s="12"/>
      <c r="B99" s="13" t="s">
        <v>71</v>
      </c>
      <c r="C99" s="40" t="s">
        <v>72</v>
      </c>
      <c r="D99" s="219">
        <f>D98*D8/1000</f>
        <v>0</v>
      </c>
      <c r="E99" s="229"/>
      <c r="F99" s="219">
        <f>F98*F8/1000</f>
        <v>0</v>
      </c>
      <c r="G99" s="229"/>
      <c r="H99" s="401">
        <f>H98*H8/1000</f>
        <v>0.055979999999999995</v>
      </c>
      <c r="I99" s="216">
        <f>I98*I8/1000</f>
        <v>0.055187819519257976</v>
      </c>
      <c r="J99" s="214">
        <f t="shared" si="20"/>
        <v>-0.0007921804807420191</v>
      </c>
      <c r="K99" s="401">
        <f>K98*K8/1000</f>
        <v>0.055979999999999995</v>
      </c>
      <c r="L99" s="214">
        <f t="shared" si="22"/>
        <v>0</v>
      </c>
      <c r="M99" s="337">
        <f>I99</f>
        <v>0.055187819519257976</v>
      </c>
      <c r="N99" s="214">
        <f>M99/I99*100-100</f>
        <v>0</v>
      </c>
      <c r="O99" s="214">
        <f t="shared" si="21"/>
        <v>-0.0007921804807420191</v>
      </c>
      <c r="P99" s="223">
        <f t="shared" si="24"/>
        <v>0</v>
      </c>
      <c r="Q99" s="223"/>
      <c r="R99" s="38">
        <f>R98*R8/1000</f>
        <v>0</v>
      </c>
      <c r="S99" s="16">
        <f>R99/(F99+1E-106)*100-100</f>
        <v>-100</v>
      </c>
      <c r="T99" s="38">
        <f>T98*T8/1000</f>
        <v>0</v>
      </c>
      <c r="U99" s="17">
        <f t="shared" si="19"/>
        <v>-100</v>
      </c>
      <c r="V99" s="17">
        <f>T99/(F99+1E-106)*100-100</f>
        <v>-100</v>
      </c>
      <c r="W99" s="16">
        <f>T99-L99</f>
        <v>0</v>
      </c>
      <c r="X99" s="16"/>
      <c r="Y99" s="49"/>
    </row>
    <row r="100" spans="1:25" s="33" customFormat="1" ht="12" customHeight="1">
      <c r="A100" s="3"/>
      <c r="B100" s="4" t="s">
        <v>73</v>
      </c>
      <c r="C100" s="40" t="s">
        <v>74</v>
      </c>
      <c r="D100" s="220"/>
      <c r="E100" s="224">
        <f>E116/(E99+1E-108)</f>
        <v>0</v>
      </c>
      <c r="F100" s="220"/>
      <c r="G100" s="224">
        <f>G116/(G99+1E-108)</f>
        <v>0</v>
      </c>
      <c r="H100" s="401">
        <f>I100</f>
        <v>14.0662136</v>
      </c>
      <c r="I100" s="220">
        <f>(9.79+0.098*21.74)*1.18</f>
        <v>14.0662136</v>
      </c>
      <c r="J100" s="214">
        <f t="shared" si="20"/>
        <v>0</v>
      </c>
      <c r="K100" s="401">
        <f>H100*1.1</f>
        <v>15.47283496</v>
      </c>
      <c r="L100" s="214">
        <f t="shared" si="22"/>
        <v>10.000000000000014</v>
      </c>
      <c r="M100" s="337">
        <f>I100*1.1</f>
        <v>15.47283496</v>
      </c>
      <c r="N100" s="214">
        <f>M100/I100*100-100</f>
        <v>10.000000000000014</v>
      </c>
      <c r="O100" s="214">
        <f t="shared" si="21"/>
        <v>0</v>
      </c>
      <c r="P100" s="227">
        <f t="shared" si="24"/>
        <v>0</v>
      </c>
      <c r="Q100" s="227"/>
      <c r="R100" s="25">
        <f>F100</f>
        <v>0</v>
      </c>
      <c r="S100" s="9">
        <f>R100/(F100+1E-106)*100-100</f>
        <v>-100</v>
      </c>
      <c r="T100" s="25">
        <f>R100</f>
        <v>0</v>
      </c>
      <c r="U100" s="8">
        <f t="shared" si="19"/>
        <v>-100</v>
      </c>
      <c r="V100" s="8">
        <f>T100/(F100+1E-106)*100-100</f>
        <v>-100</v>
      </c>
      <c r="W100" s="9">
        <f>T100-L100</f>
        <v>-10.000000000000014</v>
      </c>
      <c r="X100" s="395" t="s">
        <v>232</v>
      </c>
      <c r="Y100" s="50"/>
    </row>
    <row r="101" spans="1:25" ht="16.5" customHeight="1">
      <c r="A101" s="166"/>
      <c r="B101" s="167" t="s">
        <v>75</v>
      </c>
      <c r="C101" s="168"/>
      <c r="D101" s="231"/>
      <c r="E101" s="231"/>
      <c r="F101" s="231"/>
      <c r="G101" s="231"/>
      <c r="H101" s="231"/>
      <c r="I101" s="228"/>
      <c r="J101" s="346">
        <f t="shared" si="20"/>
        <v>0</v>
      </c>
      <c r="K101" s="231"/>
      <c r="L101" s="346"/>
      <c r="M101" s="347"/>
      <c r="N101" s="346"/>
      <c r="O101" s="346">
        <f t="shared" si="21"/>
        <v>0</v>
      </c>
      <c r="P101" s="182"/>
      <c r="Q101" s="231"/>
      <c r="R101" s="262"/>
      <c r="S101" s="263"/>
      <c r="T101" s="262"/>
      <c r="U101" s="264"/>
      <c r="V101" s="264"/>
      <c r="W101" s="265"/>
      <c r="X101" s="263"/>
      <c r="Y101" s="49"/>
    </row>
    <row r="102" spans="1:25" ht="12" customHeight="1">
      <c r="A102" s="174">
        <v>10</v>
      </c>
      <c r="B102" s="167" t="s">
        <v>76</v>
      </c>
      <c r="C102" s="168" t="s">
        <v>77</v>
      </c>
      <c r="D102" s="181">
        <f>SUMIF(D104:D110,"&gt;0")</f>
        <v>0</v>
      </c>
      <c r="E102" s="181">
        <f>SUMIF(E104:E110,"&gt;0")</f>
        <v>0</v>
      </c>
      <c r="F102" s="181">
        <f>SUMIF(F104:F110,"&gt;0")</f>
        <v>0</v>
      </c>
      <c r="G102" s="181">
        <f>SUMIF(G104:G110,"&gt;0")</f>
        <v>0</v>
      </c>
      <c r="H102" s="391">
        <f>H104</f>
        <v>107.69040602290406</v>
      </c>
      <c r="I102" s="181">
        <f>SUMIF(I104:I110,"&gt;0")</f>
        <v>107.69040602290406</v>
      </c>
      <c r="J102" s="346">
        <f t="shared" si="20"/>
        <v>0</v>
      </c>
      <c r="K102" s="391">
        <f>K104</f>
        <v>123.84396692633965</v>
      </c>
      <c r="L102" s="346">
        <f t="shared" si="22"/>
        <v>14.999999999999986</v>
      </c>
      <c r="M102" s="347">
        <f>M104</f>
        <v>123.84396692633965</v>
      </c>
      <c r="N102" s="346">
        <f>M102/I102*100-100</f>
        <v>14.999999999999986</v>
      </c>
      <c r="O102" s="346">
        <f t="shared" si="21"/>
        <v>0</v>
      </c>
      <c r="P102" s="181">
        <f>M102/($M$163+1E-103)*100</f>
        <v>43.30100430756096</v>
      </c>
      <c r="Q102" s="181">
        <f>N102/($M$163+1E-103)*100</f>
        <v>5.244624189079268</v>
      </c>
      <c r="R102" s="172">
        <f>SUMIF(R104:R110,"&gt;0")</f>
        <v>0</v>
      </c>
      <c r="S102" s="172">
        <f>R102/(F102+1E-106)*100-100</f>
        <v>-100</v>
      </c>
      <c r="T102" s="172">
        <f>SUMIF(T104:T110,"&gt;0")</f>
        <v>0</v>
      </c>
      <c r="U102" s="171">
        <f t="shared" si="19"/>
        <v>-100</v>
      </c>
      <c r="V102" s="171">
        <f>T102/(F102+1E-106)*100-100</f>
        <v>-100</v>
      </c>
      <c r="W102" s="172">
        <f aca="true" t="shared" si="25" ref="W102:W125">T102-L102</f>
        <v>-14.999999999999986</v>
      </c>
      <c r="X102" s="175"/>
      <c r="Y102" s="49"/>
    </row>
    <row r="103" spans="1:25" s="332" customFormat="1" ht="13.5" customHeight="1">
      <c r="A103" s="323"/>
      <c r="B103" s="324" t="s">
        <v>212</v>
      </c>
      <c r="C103" s="325"/>
      <c r="D103" s="326"/>
      <c r="E103" s="326"/>
      <c r="F103" s="326"/>
      <c r="G103" s="326"/>
      <c r="H103" s="402"/>
      <c r="I103" s="348"/>
      <c r="J103" s="346">
        <f t="shared" si="20"/>
        <v>0</v>
      </c>
      <c r="K103" s="402"/>
      <c r="L103" s="346"/>
      <c r="M103" s="348"/>
      <c r="N103" s="346"/>
      <c r="O103" s="346">
        <f t="shared" si="21"/>
        <v>0</v>
      </c>
      <c r="P103" s="326"/>
      <c r="Q103" s="327"/>
      <c r="R103" s="327"/>
      <c r="S103" s="327"/>
      <c r="T103" s="328"/>
      <c r="U103" s="328"/>
      <c r="V103" s="327"/>
      <c r="W103" s="329"/>
      <c r="X103" s="330"/>
      <c r="Y103" s="331"/>
    </row>
    <row r="104" spans="1:25" ht="12" customHeight="1">
      <c r="A104" s="12" t="s">
        <v>31</v>
      </c>
      <c r="B104" s="13" t="s">
        <v>78</v>
      </c>
      <c r="C104" s="40" t="s">
        <v>77</v>
      </c>
      <c r="D104" s="219">
        <f>D30*D31/1000</f>
        <v>0</v>
      </c>
      <c r="E104" s="229"/>
      <c r="F104" s="219">
        <f>F30*F31/1000</f>
        <v>0</v>
      </c>
      <c r="G104" s="229"/>
      <c r="H104" s="229">
        <f>H30*H31/1000</f>
        <v>107.69040602290406</v>
      </c>
      <c r="I104" s="216">
        <f>I30*I31/1000</f>
        <v>107.69040602290406</v>
      </c>
      <c r="J104" s="214">
        <f t="shared" si="20"/>
        <v>0</v>
      </c>
      <c r="K104" s="229">
        <f>K30*K31/1000</f>
        <v>123.84396692633965</v>
      </c>
      <c r="L104" s="214">
        <f t="shared" si="22"/>
        <v>14.999999999999986</v>
      </c>
      <c r="M104" s="216">
        <f>M30*M31/1000</f>
        <v>123.84396692633965</v>
      </c>
      <c r="N104" s="214">
        <f aca="true" t="shared" si="26" ref="N104:N124">M104/I104*100-100</f>
        <v>14.999999999999986</v>
      </c>
      <c r="O104" s="214">
        <f t="shared" si="21"/>
        <v>0</v>
      </c>
      <c r="P104" s="223"/>
      <c r="Q104" s="223"/>
      <c r="R104" s="249">
        <f>R30*R31/1000</f>
        <v>0</v>
      </c>
      <c r="S104" s="250">
        <f aca="true" t="shared" si="27" ref="S104:S125">R104/(F104+1E-106)*100-100</f>
        <v>-100</v>
      </c>
      <c r="T104" s="249">
        <f>T30*T31/1000</f>
        <v>0</v>
      </c>
      <c r="U104" s="256">
        <f t="shared" si="19"/>
        <v>-100</v>
      </c>
      <c r="V104" s="256">
        <f aca="true" t="shared" si="28" ref="V104:V127">T104/(F104+1E-106)*100-100</f>
        <v>-100</v>
      </c>
      <c r="W104" s="250">
        <f t="shared" si="25"/>
        <v>-14.999999999999986</v>
      </c>
      <c r="X104" s="267"/>
      <c r="Y104" s="49"/>
    </row>
    <row r="105" spans="1:25" ht="12" customHeight="1" hidden="1">
      <c r="A105" s="12" t="s">
        <v>31</v>
      </c>
      <c r="B105" s="13" t="s">
        <v>79</v>
      </c>
      <c r="C105" s="40" t="s">
        <v>77</v>
      </c>
      <c r="D105" s="219">
        <f>D36*D37/1000</f>
        <v>0</v>
      </c>
      <c r="E105" s="229"/>
      <c r="F105" s="219">
        <f>F36*F37/1000</f>
        <v>0</v>
      </c>
      <c r="G105" s="229"/>
      <c r="H105" s="229"/>
      <c r="I105" s="216">
        <f>I36*I37/1000</f>
        <v>0</v>
      </c>
      <c r="J105" s="214">
        <f t="shared" si="20"/>
        <v>0</v>
      </c>
      <c r="K105" s="229"/>
      <c r="L105" s="214" t="e">
        <f t="shared" si="22"/>
        <v>#DIV/0!</v>
      </c>
      <c r="M105" s="216">
        <f>M36*M37/1000</f>
        <v>10</v>
      </c>
      <c r="N105" s="214" t="e">
        <f t="shared" si="26"/>
        <v>#DIV/0!</v>
      </c>
      <c r="O105" s="214">
        <f t="shared" si="21"/>
        <v>10</v>
      </c>
      <c r="P105" s="223"/>
      <c r="Q105" s="223"/>
      <c r="R105" s="249">
        <f>R36*R37/1000</f>
        <v>0</v>
      </c>
      <c r="S105" s="250">
        <f t="shared" si="27"/>
        <v>-100</v>
      </c>
      <c r="T105" s="249">
        <f>T36*T37/1000</f>
        <v>0</v>
      </c>
      <c r="U105" s="251">
        <f t="shared" si="19"/>
        <v>-100</v>
      </c>
      <c r="V105" s="251">
        <f t="shared" si="28"/>
        <v>-100</v>
      </c>
      <c r="W105" s="250" t="e">
        <f t="shared" si="25"/>
        <v>#DIV/0!</v>
      </c>
      <c r="X105" s="267"/>
      <c r="Y105" s="49"/>
    </row>
    <row r="106" spans="1:25" ht="12" customHeight="1" hidden="1">
      <c r="A106" s="12" t="s">
        <v>31</v>
      </c>
      <c r="B106" s="13" t="s">
        <v>80</v>
      </c>
      <c r="C106" s="40" t="s">
        <v>77</v>
      </c>
      <c r="D106" s="219">
        <f>D42*D43/1000</f>
        <v>0</v>
      </c>
      <c r="E106" s="229"/>
      <c r="F106" s="219">
        <f>F42*F43/1000</f>
        <v>0</v>
      </c>
      <c r="G106" s="229"/>
      <c r="H106" s="229"/>
      <c r="I106" s="216">
        <f>I42*I43/1000</f>
        <v>0</v>
      </c>
      <c r="J106" s="214">
        <f t="shared" si="20"/>
        <v>0</v>
      </c>
      <c r="K106" s="229"/>
      <c r="L106" s="214" t="e">
        <f t="shared" si="22"/>
        <v>#DIV/0!</v>
      </c>
      <c r="M106" s="216">
        <f>M42*M43/1000</f>
        <v>10</v>
      </c>
      <c r="N106" s="214" t="e">
        <f t="shared" si="26"/>
        <v>#DIV/0!</v>
      </c>
      <c r="O106" s="214">
        <f t="shared" si="21"/>
        <v>10</v>
      </c>
      <c r="P106" s="223"/>
      <c r="Q106" s="223"/>
      <c r="R106" s="249">
        <f>R42*R43/1000</f>
        <v>0</v>
      </c>
      <c r="S106" s="250">
        <f t="shared" si="27"/>
        <v>-100</v>
      </c>
      <c r="T106" s="249">
        <f>T42*T43/1000</f>
        <v>0</v>
      </c>
      <c r="U106" s="251">
        <f t="shared" si="19"/>
        <v>-100</v>
      </c>
      <c r="V106" s="251">
        <f t="shared" si="28"/>
        <v>-100</v>
      </c>
      <c r="W106" s="250" t="e">
        <f t="shared" si="25"/>
        <v>#DIV/0!</v>
      </c>
      <c r="X106" s="267"/>
      <c r="Y106" s="49"/>
    </row>
    <row r="107" spans="1:25" ht="12" customHeight="1" hidden="1">
      <c r="A107" s="12" t="s">
        <v>31</v>
      </c>
      <c r="B107" s="13" t="s">
        <v>81</v>
      </c>
      <c r="C107" s="40" t="s">
        <v>77</v>
      </c>
      <c r="D107" s="219">
        <f>D48*D49/1000</f>
        <v>0</v>
      </c>
      <c r="E107" s="229"/>
      <c r="F107" s="219">
        <f>F48*F49/1000</f>
        <v>0</v>
      </c>
      <c r="G107" s="229"/>
      <c r="H107" s="229"/>
      <c r="I107" s="216">
        <f>I48*I49/1000</f>
        <v>0</v>
      </c>
      <c r="J107" s="214">
        <f t="shared" si="20"/>
        <v>0</v>
      </c>
      <c r="K107" s="229"/>
      <c r="L107" s="214" t="e">
        <f t="shared" si="22"/>
        <v>#DIV/0!</v>
      </c>
      <c r="M107" s="216">
        <f>M48*M49/1000</f>
        <v>10</v>
      </c>
      <c r="N107" s="214" t="e">
        <f t="shared" si="26"/>
        <v>#DIV/0!</v>
      </c>
      <c r="O107" s="214">
        <f t="shared" si="21"/>
        <v>10</v>
      </c>
      <c r="P107" s="223"/>
      <c r="Q107" s="223"/>
      <c r="R107" s="249">
        <f>R48*R49/1000</f>
        <v>0</v>
      </c>
      <c r="S107" s="250">
        <f t="shared" si="27"/>
        <v>-100</v>
      </c>
      <c r="T107" s="249">
        <f>T48*T49/1000</f>
        <v>0</v>
      </c>
      <c r="U107" s="251">
        <f t="shared" si="19"/>
        <v>-100</v>
      </c>
      <c r="V107" s="251">
        <f t="shared" si="28"/>
        <v>-100</v>
      </c>
      <c r="W107" s="250" t="e">
        <f t="shared" si="25"/>
        <v>#DIV/0!</v>
      </c>
      <c r="X107" s="267"/>
      <c r="Y107" s="49"/>
    </row>
    <row r="108" spans="1:25" ht="12" customHeight="1" hidden="1">
      <c r="A108" s="12" t="s">
        <v>31</v>
      </c>
      <c r="B108" s="13" t="s">
        <v>82</v>
      </c>
      <c r="C108" s="40" t="s">
        <v>77</v>
      </c>
      <c r="D108" s="219">
        <f>D54*D55/1000</f>
        <v>0</v>
      </c>
      <c r="E108" s="229"/>
      <c r="F108" s="219">
        <f>F54*F55/1000</f>
        <v>0</v>
      </c>
      <c r="G108" s="229"/>
      <c r="H108" s="229"/>
      <c r="I108" s="216">
        <f>I54*I55/1000</f>
        <v>0</v>
      </c>
      <c r="J108" s="214">
        <f t="shared" si="20"/>
        <v>0</v>
      </c>
      <c r="K108" s="229"/>
      <c r="L108" s="214" t="e">
        <f t="shared" si="22"/>
        <v>#DIV/0!</v>
      </c>
      <c r="M108" s="216">
        <f>M54*M55/1000</f>
        <v>10</v>
      </c>
      <c r="N108" s="214" t="e">
        <f t="shared" si="26"/>
        <v>#DIV/0!</v>
      </c>
      <c r="O108" s="214">
        <f t="shared" si="21"/>
        <v>10</v>
      </c>
      <c r="P108" s="223"/>
      <c r="Q108" s="223"/>
      <c r="R108" s="249">
        <f>R54*R55/1000</f>
        <v>0</v>
      </c>
      <c r="S108" s="250">
        <f t="shared" si="27"/>
        <v>-100</v>
      </c>
      <c r="T108" s="249">
        <f>T54*T55/1000</f>
        <v>0</v>
      </c>
      <c r="U108" s="251">
        <f t="shared" si="19"/>
        <v>-100</v>
      </c>
      <c r="V108" s="251">
        <f t="shared" si="28"/>
        <v>-100</v>
      </c>
      <c r="W108" s="250" t="e">
        <f t="shared" si="25"/>
        <v>#DIV/0!</v>
      </c>
      <c r="X108" s="267"/>
      <c r="Y108" s="49"/>
    </row>
    <row r="109" spans="1:25" ht="12" customHeight="1" hidden="1">
      <c r="A109" s="12" t="s">
        <v>31</v>
      </c>
      <c r="B109" s="13" t="s">
        <v>83</v>
      </c>
      <c r="C109" s="40" t="s">
        <v>77</v>
      </c>
      <c r="D109" s="219">
        <f>D60*D61/1000</f>
        <v>0</v>
      </c>
      <c r="E109" s="229"/>
      <c r="F109" s="219">
        <f>F60*F61/1000</f>
        <v>0</v>
      </c>
      <c r="G109" s="229"/>
      <c r="H109" s="229"/>
      <c r="I109" s="216">
        <f>I60*I61/1000</f>
        <v>0</v>
      </c>
      <c r="J109" s="214">
        <f t="shared" si="20"/>
        <v>0</v>
      </c>
      <c r="K109" s="229"/>
      <c r="L109" s="214" t="e">
        <f t="shared" si="22"/>
        <v>#DIV/0!</v>
      </c>
      <c r="M109" s="216">
        <f>M60*M61/1000</f>
        <v>10</v>
      </c>
      <c r="N109" s="214" t="e">
        <f t="shared" si="26"/>
        <v>#DIV/0!</v>
      </c>
      <c r="O109" s="214">
        <f t="shared" si="21"/>
        <v>10</v>
      </c>
      <c r="P109" s="223"/>
      <c r="Q109" s="223"/>
      <c r="R109" s="249">
        <f>R60*R61/1000</f>
        <v>0</v>
      </c>
      <c r="S109" s="250">
        <f t="shared" si="27"/>
        <v>-100</v>
      </c>
      <c r="T109" s="249">
        <f>T60*T61/1000</f>
        <v>0</v>
      </c>
      <c r="U109" s="251">
        <f aca="true" t="shared" si="29" ref="U109:U127">T109/(R109+1E-106)*100-100</f>
        <v>-100</v>
      </c>
      <c r="V109" s="251">
        <f t="shared" si="28"/>
        <v>-100</v>
      </c>
      <c r="W109" s="250" t="e">
        <f t="shared" si="25"/>
        <v>#DIV/0!</v>
      </c>
      <c r="X109" s="267"/>
      <c r="Y109" s="49"/>
    </row>
    <row r="110" spans="1:25" ht="12" customHeight="1" hidden="1">
      <c r="A110" s="12" t="s">
        <v>31</v>
      </c>
      <c r="B110" s="13" t="s">
        <v>84</v>
      </c>
      <c r="C110" s="40" t="s">
        <v>77</v>
      </c>
      <c r="D110" s="219">
        <f>D66*D67/1000</f>
        <v>0</v>
      </c>
      <c r="E110" s="229"/>
      <c r="F110" s="219">
        <f>F66*F67/1000</f>
        <v>0</v>
      </c>
      <c r="G110" s="229"/>
      <c r="H110" s="229"/>
      <c r="I110" s="216">
        <f>I66*I67/1000</f>
        <v>0</v>
      </c>
      <c r="J110" s="214">
        <f t="shared" si="20"/>
        <v>0</v>
      </c>
      <c r="K110" s="229"/>
      <c r="L110" s="214" t="e">
        <f t="shared" si="22"/>
        <v>#DIV/0!</v>
      </c>
      <c r="M110" s="216">
        <f>M66*M67/1000</f>
        <v>10</v>
      </c>
      <c r="N110" s="214" t="e">
        <f t="shared" si="26"/>
        <v>#DIV/0!</v>
      </c>
      <c r="O110" s="214">
        <f t="shared" si="21"/>
        <v>10</v>
      </c>
      <c r="P110" s="223"/>
      <c r="Q110" s="223"/>
      <c r="R110" s="249">
        <f>R66*R67/1000</f>
        <v>0</v>
      </c>
      <c r="S110" s="250">
        <f t="shared" si="27"/>
        <v>-100</v>
      </c>
      <c r="T110" s="249">
        <f>T66*T67/1000</f>
        <v>0</v>
      </c>
      <c r="U110" s="251">
        <f t="shared" si="29"/>
        <v>-100</v>
      </c>
      <c r="V110" s="251">
        <f t="shared" si="28"/>
        <v>-100</v>
      </c>
      <c r="W110" s="250" t="e">
        <f t="shared" si="25"/>
        <v>#DIV/0!</v>
      </c>
      <c r="X110" s="267"/>
      <c r="Y110" s="49"/>
    </row>
    <row r="111" spans="1:25" s="33" customFormat="1" ht="12" customHeight="1">
      <c r="A111" s="174">
        <v>11</v>
      </c>
      <c r="B111" s="167" t="s">
        <v>49</v>
      </c>
      <c r="C111" s="168" t="s">
        <v>77</v>
      </c>
      <c r="D111" s="181">
        <f>D112+D113+D114+D115</f>
        <v>0</v>
      </c>
      <c r="E111" s="181">
        <f>E112+E113+E114+E115</f>
        <v>0</v>
      </c>
      <c r="F111" s="181">
        <f>F112+F113+F114+F115</f>
        <v>0</v>
      </c>
      <c r="G111" s="181">
        <f>G112+G113+G114+G115</f>
        <v>0</v>
      </c>
      <c r="H111" s="391">
        <f>H74*H75</f>
        <v>14.949</v>
      </c>
      <c r="I111" s="181">
        <f>I112+I113+I114+I115</f>
        <v>10.55753552</v>
      </c>
      <c r="J111" s="346">
        <f t="shared" si="20"/>
        <v>-4.39146448</v>
      </c>
      <c r="K111" s="391">
        <f>K74*K75</f>
        <v>16.742880000000003</v>
      </c>
      <c r="L111" s="346">
        <f t="shared" si="22"/>
        <v>12.000000000000028</v>
      </c>
      <c r="M111" s="347">
        <f>M112</f>
        <v>11.8244397824</v>
      </c>
      <c r="N111" s="346">
        <f t="shared" si="26"/>
        <v>12.000000000000014</v>
      </c>
      <c r="O111" s="346">
        <f t="shared" si="21"/>
        <v>-4.918440217600002</v>
      </c>
      <c r="P111" s="181">
        <f>M111/($M$163+1E-103)*100</f>
        <v>4.13431619367242</v>
      </c>
      <c r="Q111" s="181">
        <f>N111/($M$163+1E-103)*100</f>
        <v>4.195699351263423</v>
      </c>
      <c r="R111" s="172" t="e">
        <f>#REF!+#REF!</f>
        <v>#REF!</v>
      </c>
      <c r="S111" s="172" t="e">
        <f t="shared" si="27"/>
        <v>#REF!</v>
      </c>
      <c r="T111" s="172" t="e">
        <f>#REF!+#REF!</f>
        <v>#REF!</v>
      </c>
      <c r="U111" s="171" t="e">
        <f t="shared" si="29"/>
        <v>#REF!</v>
      </c>
      <c r="V111" s="171" t="e">
        <f t="shared" si="28"/>
        <v>#REF!</v>
      </c>
      <c r="W111" s="172" t="e">
        <f t="shared" si="25"/>
        <v>#REF!</v>
      </c>
      <c r="X111" s="175"/>
      <c r="Y111" s="50"/>
    </row>
    <row r="112" spans="1:26" ht="12" customHeight="1">
      <c r="A112" s="12" t="s">
        <v>31</v>
      </c>
      <c r="B112" s="13" t="s">
        <v>85</v>
      </c>
      <c r="C112" s="40" t="s">
        <v>77</v>
      </c>
      <c r="D112" s="219">
        <f>D74*D75+D77*12*D78</f>
        <v>0</v>
      </c>
      <c r="E112" s="229"/>
      <c r="F112" s="219">
        <f>F74*F75+F77*12*F78</f>
        <v>0</v>
      </c>
      <c r="G112" s="229"/>
      <c r="H112" s="229">
        <v>14.95</v>
      </c>
      <c r="I112" s="216">
        <f>I75*I74</f>
        <v>10.55753552</v>
      </c>
      <c r="J112" s="214">
        <f t="shared" si="20"/>
        <v>-4.392464479999999</v>
      </c>
      <c r="K112" s="229">
        <v>14.95</v>
      </c>
      <c r="L112" s="214">
        <f t="shared" si="22"/>
        <v>0</v>
      </c>
      <c r="M112" s="216">
        <f>M75*M74</f>
        <v>11.8244397824</v>
      </c>
      <c r="N112" s="214">
        <f t="shared" si="26"/>
        <v>12.000000000000014</v>
      </c>
      <c r="O112" s="214">
        <f t="shared" si="21"/>
        <v>-3.1255602175999986</v>
      </c>
      <c r="P112" s="223"/>
      <c r="Q112" s="223"/>
      <c r="R112" s="249"/>
      <c r="S112" s="250">
        <f t="shared" si="27"/>
        <v>-100</v>
      </c>
      <c r="T112" s="249"/>
      <c r="U112" s="256">
        <f t="shared" si="29"/>
        <v>-100</v>
      </c>
      <c r="V112" s="256">
        <f t="shared" si="28"/>
        <v>-100</v>
      </c>
      <c r="W112" s="250">
        <f t="shared" si="25"/>
        <v>0</v>
      </c>
      <c r="X112" s="267"/>
      <c r="Y112" s="49"/>
      <c r="Z112" s="21"/>
    </row>
    <row r="113" spans="1:26" ht="12" customHeight="1" hidden="1">
      <c r="A113" s="12" t="s">
        <v>31</v>
      </c>
      <c r="B113" s="13" t="s">
        <v>86</v>
      </c>
      <c r="C113" s="40" t="s">
        <v>77</v>
      </c>
      <c r="D113" s="219">
        <f>D80*D81+D83*12*D84</f>
        <v>0</v>
      </c>
      <c r="E113" s="229"/>
      <c r="F113" s="219">
        <f>F80*F81+F83*12*F84</f>
        <v>0</v>
      </c>
      <c r="G113" s="229"/>
      <c r="H113" s="229"/>
      <c r="I113" s="216">
        <f>I80*I81+I83*12*I84</f>
        <v>0</v>
      </c>
      <c r="J113" s="214">
        <f t="shared" si="20"/>
        <v>0</v>
      </c>
      <c r="K113" s="229"/>
      <c r="L113" s="214" t="e">
        <f t="shared" si="22"/>
        <v>#DIV/0!</v>
      </c>
      <c r="M113" s="216" t="e">
        <f>M80*M81+M83*12*M84</f>
        <v>#DIV/0!</v>
      </c>
      <c r="N113" s="214" t="e">
        <f t="shared" si="26"/>
        <v>#DIV/0!</v>
      </c>
      <c r="O113" s="214" t="e">
        <f t="shared" si="21"/>
        <v>#DIV/0!</v>
      </c>
      <c r="P113" s="223"/>
      <c r="Q113" s="223"/>
      <c r="R113" s="249"/>
      <c r="S113" s="250">
        <f t="shared" si="27"/>
        <v>-100</v>
      </c>
      <c r="T113" s="249"/>
      <c r="U113" s="251">
        <f t="shared" si="29"/>
        <v>-100</v>
      </c>
      <c r="V113" s="251">
        <f t="shared" si="28"/>
        <v>-100</v>
      </c>
      <c r="W113" s="250" t="e">
        <f t="shared" si="25"/>
        <v>#DIV/0!</v>
      </c>
      <c r="X113" s="267"/>
      <c r="Y113" s="49"/>
      <c r="Z113" s="21"/>
    </row>
    <row r="114" spans="1:26" ht="12" customHeight="1" hidden="1">
      <c r="A114" s="12" t="s">
        <v>31</v>
      </c>
      <c r="B114" s="13" t="s">
        <v>87</v>
      </c>
      <c r="C114" s="40" t="s">
        <v>77</v>
      </c>
      <c r="D114" s="219">
        <f>D86*D87+D89*12*D90</f>
        <v>0</v>
      </c>
      <c r="E114" s="229"/>
      <c r="F114" s="219">
        <f>F86*F87+F89*12*F90</f>
        <v>0</v>
      </c>
      <c r="G114" s="229"/>
      <c r="H114" s="229"/>
      <c r="I114" s="216">
        <f>I86*I87+I89*12*I90</f>
        <v>0</v>
      </c>
      <c r="J114" s="214">
        <f t="shared" si="20"/>
        <v>0</v>
      </c>
      <c r="K114" s="229"/>
      <c r="L114" s="214" t="e">
        <f t="shared" si="22"/>
        <v>#DIV/0!</v>
      </c>
      <c r="M114" s="216" t="e">
        <f>M86*M87+M89*12*M90</f>
        <v>#DIV/0!</v>
      </c>
      <c r="N114" s="214" t="e">
        <f t="shared" si="26"/>
        <v>#DIV/0!</v>
      </c>
      <c r="O114" s="214" t="e">
        <f t="shared" si="21"/>
        <v>#DIV/0!</v>
      </c>
      <c r="P114" s="223"/>
      <c r="Q114" s="223"/>
      <c r="R114" s="249"/>
      <c r="S114" s="250">
        <f t="shared" si="27"/>
        <v>-100</v>
      </c>
      <c r="T114" s="249"/>
      <c r="U114" s="251">
        <f t="shared" si="29"/>
        <v>-100</v>
      </c>
      <c r="V114" s="251">
        <f t="shared" si="28"/>
        <v>-100</v>
      </c>
      <c r="W114" s="250" t="e">
        <f t="shared" si="25"/>
        <v>#DIV/0!</v>
      </c>
      <c r="X114" s="267"/>
      <c r="Y114" s="49"/>
      <c r="Z114" s="21"/>
    </row>
    <row r="115" spans="1:26" ht="12" customHeight="1" hidden="1">
      <c r="A115" s="12" t="s">
        <v>31</v>
      </c>
      <c r="B115" s="13" t="s">
        <v>88</v>
      </c>
      <c r="C115" s="40" t="s">
        <v>77</v>
      </c>
      <c r="D115" s="219">
        <f>D92*D93+D95*12*D96</f>
        <v>0</v>
      </c>
      <c r="E115" s="229"/>
      <c r="F115" s="219">
        <f>F92*F93+F95*12*F96</f>
        <v>0</v>
      </c>
      <c r="G115" s="229"/>
      <c r="H115" s="229"/>
      <c r="I115" s="216">
        <f>I92*I93+I95*12*I96</f>
        <v>0</v>
      </c>
      <c r="J115" s="214">
        <f t="shared" si="20"/>
        <v>0</v>
      </c>
      <c r="K115" s="229"/>
      <c r="L115" s="214" t="e">
        <f t="shared" si="22"/>
        <v>#DIV/0!</v>
      </c>
      <c r="M115" s="216" t="e">
        <f>M92*M93+M95*12*M96</f>
        <v>#DIV/0!</v>
      </c>
      <c r="N115" s="214" t="e">
        <f t="shared" si="26"/>
        <v>#DIV/0!</v>
      </c>
      <c r="O115" s="214" t="e">
        <f t="shared" si="21"/>
        <v>#DIV/0!</v>
      </c>
      <c r="P115" s="223"/>
      <c r="Q115" s="223"/>
      <c r="R115" s="249"/>
      <c r="S115" s="250">
        <f t="shared" si="27"/>
        <v>-100</v>
      </c>
      <c r="T115" s="249"/>
      <c r="U115" s="251">
        <f t="shared" si="29"/>
        <v>-100</v>
      </c>
      <c r="V115" s="251">
        <f t="shared" si="28"/>
        <v>-100</v>
      </c>
      <c r="W115" s="250" t="e">
        <f t="shared" si="25"/>
        <v>#DIV/0!</v>
      </c>
      <c r="X115" s="267"/>
      <c r="Y115" s="49"/>
      <c r="Z115" s="21"/>
    </row>
    <row r="116" spans="1:25" s="33" customFormat="1" ht="12" customHeight="1">
      <c r="A116" s="174">
        <v>12</v>
      </c>
      <c r="B116" s="167" t="s">
        <v>68</v>
      </c>
      <c r="C116" s="176" t="s">
        <v>77</v>
      </c>
      <c r="D116" s="181">
        <f>D100*D99</f>
        <v>0</v>
      </c>
      <c r="E116" s="228"/>
      <c r="F116" s="181">
        <f>F100*F99</f>
        <v>0</v>
      </c>
      <c r="G116" s="228"/>
      <c r="H116" s="391">
        <f>H99*H100</f>
        <v>0.7874266373279999</v>
      </c>
      <c r="I116" s="181">
        <f>I100*I99</f>
        <v>0.7762836574761319</v>
      </c>
      <c r="J116" s="346">
        <f t="shared" si="20"/>
        <v>-0.011142979851867962</v>
      </c>
      <c r="K116" s="391">
        <f>K99*K100</f>
        <v>0.8661693010607999</v>
      </c>
      <c r="L116" s="346">
        <f t="shared" si="22"/>
        <v>10.000000000000014</v>
      </c>
      <c r="M116" s="347">
        <f>M100*M99</f>
        <v>0.8539120232237453</v>
      </c>
      <c r="N116" s="346">
        <f t="shared" si="26"/>
        <v>10.000000000000014</v>
      </c>
      <c r="O116" s="346">
        <f t="shared" si="21"/>
        <v>-0.012257277837054659</v>
      </c>
      <c r="P116" s="181">
        <f aca="true" t="shared" si="30" ref="P116:Q118">M116/($M$163+1E-103)*100</f>
        <v>0.29856317682299177</v>
      </c>
      <c r="Q116" s="181">
        <f t="shared" si="30"/>
        <v>3.4964161260528535</v>
      </c>
      <c r="R116" s="172">
        <f>R100*R99</f>
        <v>0</v>
      </c>
      <c r="S116" s="172">
        <f t="shared" si="27"/>
        <v>-100</v>
      </c>
      <c r="T116" s="172">
        <f>T100*T99</f>
        <v>0</v>
      </c>
      <c r="U116" s="171">
        <f t="shared" si="29"/>
        <v>-100</v>
      </c>
      <c r="V116" s="171">
        <f t="shared" si="28"/>
        <v>-100</v>
      </c>
      <c r="W116" s="172">
        <f t="shared" si="25"/>
        <v>-10.000000000000014</v>
      </c>
      <c r="X116" s="175"/>
      <c r="Y116" s="50"/>
    </row>
    <row r="117" spans="1:25" s="33" customFormat="1" ht="12" customHeight="1">
      <c r="A117" s="174">
        <v>13</v>
      </c>
      <c r="B117" s="167" t="s">
        <v>89</v>
      </c>
      <c r="C117" s="176" t="s">
        <v>77</v>
      </c>
      <c r="D117" s="228"/>
      <c r="E117" s="228"/>
      <c r="F117" s="228"/>
      <c r="G117" s="228"/>
      <c r="H117" s="391">
        <v>0.65</v>
      </c>
      <c r="I117" s="228">
        <v>0.5</v>
      </c>
      <c r="J117" s="346">
        <f t="shared" si="20"/>
        <v>-0.15000000000000002</v>
      </c>
      <c r="K117" s="391">
        <f>H117*1.049</f>
        <v>0.68185</v>
      </c>
      <c r="L117" s="346">
        <f t="shared" si="22"/>
        <v>4.8999999999999915</v>
      </c>
      <c r="M117" s="349">
        <f>I117*1.049</f>
        <v>0.5245</v>
      </c>
      <c r="N117" s="346">
        <f t="shared" si="26"/>
        <v>4.8999999999999915</v>
      </c>
      <c r="O117" s="346">
        <f t="shared" si="21"/>
        <v>-0.15735</v>
      </c>
      <c r="P117" s="181">
        <f t="shared" si="30"/>
        <v>0.1833870258114719</v>
      </c>
      <c r="Q117" s="181">
        <f t="shared" si="30"/>
        <v>1.713243901765893</v>
      </c>
      <c r="R117" s="178">
        <f>F117</f>
        <v>0</v>
      </c>
      <c r="S117" s="172">
        <f t="shared" si="27"/>
        <v>-100</v>
      </c>
      <c r="T117" s="172">
        <f>R117*1.03</f>
        <v>0</v>
      </c>
      <c r="U117" s="171">
        <f t="shared" si="29"/>
        <v>-100</v>
      </c>
      <c r="V117" s="171">
        <f t="shared" si="28"/>
        <v>-100</v>
      </c>
      <c r="W117" s="172">
        <f t="shared" si="25"/>
        <v>-4.8999999999999915</v>
      </c>
      <c r="X117" s="175"/>
      <c r="Y117" s="50"/>
    </row>
    <row r="118" spans="1:25" s="33" customFormat="1" ht="12" customHeight="1">
      <c r="A118" s="174">
        <v>14</v>
      </c>
      <c r="B118" s="167" t="s">
        <v>90</v>
      </c>
      <c r="C118" s="176" t="s">
        <v>77</v>
      </c>
      <c r="D118" s="228"/>
      <c r="E118" s="228"/>
      <c r="F118" s="228"/>
      <c r="G118" s="228"/>
      <c r="H118" s="391">
        <f>6.5*12</f>
        <v>78</v>
      </c>
      <c r="I118" s="228">
        <f>6.5*12*0.5</f>
        <v>39</v>
      </c>
      <c r="J118" s="346">
        <f t="shared" si="20"/>
        <v>-39</v>
      </c>
      <c r="K118" s="391">
        <f>H118*1.071</f>
        <v>83.538</v>
      </c>
      <c r="L118" s="346">
        <f t="shared" si="22"/>
        <v>7.099999999999994</v>
      </c>
      <c r="M118" s="349">
        <f>I118*1.071</f>
        <v>41.769</v>
      </c>
      <c r="N118" s="346">
        <f t="shared" si="26"/>
        <v>7.099999999999994</v>
      </c>
      <c r="O118" s="346">
        <f t="shared" si="21"/>
        <v>-41.769</v>
      </c>
      <c r="P118" s="181">
        <f t="shared" si="30"/>
        <v>14.604180516910143</v>
      </c>
      <c r="Q118" s="181">
        <f t="shared" si="30"/>
        <v>2.4824554494975204</v>
      </c>
      <c r="R118" s="178">
        <f>F118</f>
        <v>0</v>
      </c>
      <c r="S118" s="172">
        <f t="shared" si="27"/>
        <v>-100</v>
      </c>
      <c r="T118" s="172">
        <f>R118*1.051</f>
        <v>0</v>
      </c>
      <c r="U118" s="171">
        <f t="shared" si="29"/>
        <v>-100</v>
      </c>
      <c r="V118" s="171">
        <f t="shared" si="28"/>
        <v>-100</v>
      </c>
      <c r="W118" s="172">
        <f t="shared" si="25"/>
        <v>-7.099999999999994</v>
      </c>
      <c r="X118" s="175"/>
      <c r="Y118" s="50"/>
    </row>
    <row r="119" spans="1:25" ht="12" customHeight="1">
      <c r="A119" s="12"/>
      <c r="B119" s="13" t="s">
        <v>91</v>
      </c>
      <c r="C119" s="131" t="s">
        <v>92</v>
      </c>
      <c r="D119" s="219">
        <f>D118/12/(D120+1E-100)*1000</f>
        <v>0</v>
      </c>
      <c r="E119" s="214">
        <f>E118/12/(E120+1E-100)*1000</f>
        <v>0</v>
      </c>
      <c r="F119" s="219">
        <f>F118/12/(F120+1E-100)*1000</f>
        <v>0</v>
      </c>
      <c r="G119" s="214">
        <f>G118/3/(G120+1E-100)*1000</f>
        <v>0</v>
      </c>
      <c r="H119" s="214">
        <f>H118/12/(H120+1E-100)*1000</f>
        <v>6500</v>
      </c>
      <c r="I119" s="216">
        <f>I118/12/(I120+1E-100)*1000</f>
        <v>6500</v>
      </c>
      <c r="J119" s="214">
        <f t="shared" si="20"/>
        <v>0</v>
      </c>
      <c r="K119" s="214">
        <f>K118/12/(K120+1E-100)*1000</f>
        <v>6961.5</v>
      </c>
      <c r="L119" s="214">
        <f t="shared" si="22"/>
        <v>7.099999999999994</v>
      </c>
      <c r="M119" s="216">
        <f>M118/12/(M120+1E-100)*1000</f>
        <v>6961.5</v>
      </c>
      <c r="N119" s="214">
        <f t="shared" si="26"/>
        <v>7.099999999999994</v>
      </c>
      <c r="O119" s="214">
        <f t="shared" si="21"/>
        <v>0</v>
      </c>
      <c r="P119" s="223"/>
      <c r="Q119" s="223"/>
      <c r="R119" s="249">
        <f>R118/12/(R120+1E-100)*1000</f>
        <v>0</v>
      </c>
      <c r="S119" s="250">
        <f t="shared" si="27"/>
        <v>-100</v>
      </c>
      <c r="T119" s="249">
        <f>T118/12/(T120+1E-100)*1000</f>
        <v>0</v>
      </c>
      <c r="U119" s="256">
        <f t="shared" si="29"/>
        <v>-100</v>
      </c>
      <c r="V119" s="256">
        <f t="shared" si="28"/>
        <v>-100</v>
      </c>
      <c r="W119" s="250">
        <f t="shared" si="25"/>
        <v>-7.099999999999994</v>
      </c>
      <c r="X119" s="267"/>
      <c r="Y119" s="49"/>
    </row>
    <row r="120" spans="1:25" ht="12" customHeight="1">
      <c r="A120" s="12"/>
      <c r="B120" s="13" t="s">
        <v>93</v>
      </c>
      <c r="C120" s="131" t="s">
        <v>94</v>
      </c>
      <c r="D120" s="141"/>
      <c r="E120" s="229"/>
      <c r="F120" s="141"/>
      <c r="G120" s="229"/>
      <c r="H120" s="403">
        <v>1</v>
      </c>
      <c r="I120" s="220">
        <v>0.5</v>
      </c>
      <c r="J120" s="214">
        <f t="shared" si="20"/>
        <v>-0.5</v>
      </c>
      <c r="K120" s="403">
        <v>1</v>
      </c>
      <c r="L120" s="214">
        <f t="shared" si="22"/>
        <v>0</v>
      </c>
      <c r="M120" s="220">
        <f>I120</f>
        <v>0.5</v>
      </c>
      <c r="N120" s="214">
        <f t="shared" si="26"/>
        <v>0</v>
      </c>
      <c r="O120" s="214">
        <f t="shared" si="21"/>
        <v>-0.5</v>
      </c>
      <c r="P120" s="223"/>
      <c r="Q120" s="223"/>
      <c r="R120" s="249">
        <f>F120</f>
        <v>0</v>
      </c>
      <c r="S120" s="250">
        <f t="shared" si="27"/>
        <v>-100</v>
      </c>
      <c r="T120" s="249">
        <f>F120</f>
        <v>0</v>
      </c>
      <c r="U120" s="256">
        <f t="shared" si="29"/>
        <v>-100</v>
      </c>
      <c r="V120" s="256">
        <f t="shared" si="28"/>
        <v>-100</v>
      </c>
      <c r="W120" s="250">
        <f t="shared" si="25"/>
        <v>0</v>
      </c>
      <c r="X120" s="267"/>
      <c r="Y120" s="49"/>
    </row>
    <row r="121" spans="1:25" s="33" customFormat="1" ht="12.75" customHeight="1">
      <c r="A121" s="174">
        <v>15</v>
      </c>
      <c r="B121" s="167" t="s">
        <v>171</v>
      </c>
      <c r="C121" s="168" t="s">
        <v>77</v>
      </c>
      <c r="D121" s="228"/>
      <c r="E121" s="231"/>
      <c r="F121" s="228"/>
      <c r="G121" s="231"/>
      <c r="H121" s="231">
        <v>18.1</v>
      </c>
      <c r="I121" s="228">
        <f>I118*0.302</f>
        <v>11.778</v>
      </c>
      <c r="J121" s="346">
        <f t="shared" si="20"/>
        <v>-6.322000000000001</v>
      </c>
      <c r="K121" s="231">
        <f>K118*0.302</f>
        <v>25.228475999999997</v>
      </c>
      <c r="L121" s="346">
        <f t="shared" si="22"/>
        <v>39.38384530386739</v>
      </c>
      <c r="M121" s="349">
        <f>M118*0.302</f>
        <v>12.614237999999999</v>
      </c>
      <c r="N121" s="346">
        <f t="shared" si="26"/>
        <v>7.099999999999966</v>
      </c>
      <c r="O121" s="346">
        <f t="shared" si="21"/>
        <v>-12.614237999999999</v>
      </c>
      <c r="P121" s="181">
        <f aca="true" t="shared" si="31" ref="P121:Q123">M121/($M$163+1E-103)*100</f>
        <v>4.410462516106863</v>
      </c>
      <c r="Q121" s="181">
        <f t="shared" si="31"/>
        <v>2.4824554494975106</v>
      </c>
      <c r="R121" s="177">
        <f>F121</f>
        <v>0</v>
      </c>
      <c r="S121" s="265">
        <f t="shared" si="27"/>
        <v>-100</v>
      </c>
      <c r="T121" s="177">
        <f>T118*0.342</f>
        <v>0</v>
      </c>
      <c r="U121" s="264">
        <f t="shared" si="29"/>
        <v>-100</v>
      </c>
      <c r="V121" s="264">
        <f t="shared" si="28"/>
        <v>-100</v>
      </c>
      <c r="W121" s="265">
        <f t="shared" si="25"/>
        <v>-39.38384530386739</v>
      </c>
      <c r="X121" s="269"/>
      <c r="Y121" s="50"/>
    </row>
    <row r="122" spans="1:25" s="33" customFormat="1" ht="12" customHeight="1">
      <c r="A122" s="174">
        <v>16</v>
      </c>
      <c r="B122" s="167" t="s">
        <v>95</v>
      </c>
      <c r="C122" s="168" t="s">
        <v>77</v>
      </c>
      <c r="D122" s="228"/>
      <c r="E122" s="231"/>
      <c r="F122" s="228"/>
      <c r="G122" s="231"/>
      <c r="H122" s="231">
        <v>18.8</v>
      </c>
      <c r="I122" s="228">
        <v>9.4</v>
      </c>
      <c r="J122" s="346">
        <f t="shared" si="20"/>
        <v>-9.4</v>
      </c>
      <c r="K122" s="231">
        <v>18.8</v>
      </c>
      <c r="L122" s="346">
        <f t="shared" si="22"/>
        <v>0</v>
      </c>
      <c r="M122" s="347">
        <f>I122</f>
        <v>9.4</v>
      </c>
      <c r="N122" s="346">
        <f t="shared" si="26"/>
        <v>0</v>
      </c>
      <c r="O122" s="346">
        <f t="shared" si="21"/>
        <v>-9.4</v>
      </c>
      <c r="P122" s="181">
        <f t="shared" si="31"/>
        <v>3.286631158489678</v>
      </c>
      <c r="Q122" s="181">
        <f t="shared" si="31"/>
        <v>0</v>
      </c>
      <c r="R122" s="270">
        <f>F122</f>
        <v>0</v>
      </c>
      <c r="S122" s="265">
        <f t="shared" si="27"/>
        <v>-100</v>
      </c>
      <c r="T122" s="270">
        <f>F122</f>
        <v>0</v>
      </c>
      <c r="U122" s="264">
        <f t="shared" si="29"/>
        <v>-100</v>
      </c>
      <c r="V122" s="264">
        <f t="shared" si="28"/>
        <v>-100</v>
      </c>
      <c r="W122" s="265">
        <f t="shared" si="25"/>
        <v>0</v>
      </c>
      <c r="X122" s="396" t="s">
        <v>227</v>
      </c>
      <c r="Y122" s="50"/>
    </row>
    <row r="123" spans="1:25" s="33" customFormat="1" ht="12" customHeight="1">
      <c r="A123" s="174">
        <v>17</v>
      </c>
      <c r="B123" s="167" t="s">
        <v>96</v>
      </c>
      <c r="C123" s="168" t="s">
        <v>77</v>
      </c>
      <c r="D123" s="181">
        <f>D124+D125+D126</f>
        <v>0</v>
      </c>
      <c r="E123" s="181">
        <f aca="true" t="shared" si="32" ref="E123:M123">E124+E125+E126</f>
        <v>0</v>
      </c>
      <c r="F123" s="181">
        <f t="shared" si="32"/>
        <v>0</v>
      </c>
      <c r="G123" s="181">
        <f t="shared" si="32"/>
        <v>0</v>
      </c>
      <c r="H123" s="391">
        <f>H124+H125+H126</f>
        <v>16.8</v>
      </c>
      <c r="I123" s="181">
        <f t="shared" si="32"/>
        <v>5</v>
      </c>
      <c r="J123" s="346">
        <f t="shared" si="20"/>
        <v>-11.8</v>
      </c>
      <c r="K123" s="391">
        <f>K124+K125+K126</f>
        <v>17.623199999999997</v>
      </c>
      <c r="L123" s="346">
        <f t="shared" si="22"/>
        <v>4.899999999999977</v>
      </c>
      <c r="M123" s="347">
        <f t="shared" si="32"/>
        <v>5.244999999999999</v>
      </c>
      <c r="N123" s="346">
        <f t="shared" si="26"/>
        <v>4.8999999999999915</v>
      </c>
      <c r="O123" s="346">
        <f t="shared" si="21"/>
        <v>-12.378199999999998</v>
      </c>
      <c r="P123" s="181">
        <f t="shared" si="31"/>
        <v>1.8338702581147188</v>
      </c>
      <c r="Q123" s="181">
        <f t="shared" si="31"/>
        <v>1.713243901765893</v>
      </c>
      <c r="R123" s="183">
        <f>R126+R125+R124</f>
        <v>0</v>
      </c>
      <c r="S123" s="184">
        <f t="shared" si="27"/>
        <v>-100</v>
      </c>
      <c r="T123" s="183">
        <f>T126+T125+T124</f>
        <v>0</v>
      </c>
      <c r="U123" s="171">
        <f t="shared" si="29"/>
        <v>-100</v>
      </c>
      <c r="V123" s="171">
        <f t="shared" si="28"/>
        <v>-100</v>
      </c>
      <c r="W123" s="172">
        <f t="shared" si="25"/>
        <v>-4.899999999999977</v>
      </c>
      <c r="X123" s="175"/>
      <c r="Y123" s="50"/>
    </row>
    <row r="124" spans="1:25" ht="12" customHeight="1">
      <c r="A124" s="12" t="s">
        <v>31</v>
      </c>
      <c r="B124" s="13" t="s">
        <v>97</v>
      </c>
      <c r="C124" s="40" t="s">
        <v>77</v>
      </c>
      <c r="D124" s="141"/>
      <c r="E124" s="229"/>
      <c r="F124" s="141"/>
      <c r="G124" s="229"/>
      <c r="H124" s="229">
        <v>14.4</v>
      </c>
      <c r="I124" s="220">
        <v>5</v>
      </c>
      <c r="J124" s="214">
        <f t="shared" si="20"/>
        <v>-9.4</v>
      </c>
      <c r="K124" s="229">
        <f>H124*1.049</f>
        <v>15.105599999999999</v>
      </c>
      <c r="L124" s="214">
        <f t="shared" si="22"/>
        <v>4.8999999999999915</v>
      </c>
      <c r="M124" s="220">
        <f>I124*1.049</f>
        <v>5.244999999999999</v>
      </c>
      <c r="N124" s="214">
        <f t="shared" si="26"/>
        <v>4.8999999999999915</v>
      </c>
      <c r="O124" s="214">
        <f t="shared" si="21"/>
        <v>-9.8606</v>
      </c>
      <c r="P124" s="223"/>
      <c r="Q124" s="223"/>
      <c r="R124" s="271">
        <f>F124</f>
        <v>0</v>
      </c>
      <c r="S124" s="272">
        <f t="shared" si="27"/>
        <v>-100</v>
      </c>
      <c r="T124" s="257">
        <f>F124*1.03</f>
        <v>0</v>
      </c>
      <c r="U124" s="256">
        <f t="shared" si="29"/>
        <v>-100</v>
      </c>
      <c r="V124" s="256">
        <f t="shared" si="28"/>
        <v>-100</v>
      </c>
      <c r="W124" s="250">
        <f t="shared" si="25"/>
        <v>-4.8999999999999915</v>
      </c>
      <c r="X124" s="267"/>
      <c r="Y124" s="49"/>
    </row>
    <row r="125" spans="1:25" ht="12" customHeight="1">
      <c r="A125" s="12" t="s">
        <v>31</v>
      </c>
      <c r="B125" s="13" t="s">
        <v>98</v>
      </c>
      <c r="C125" s="40" t="s">
        <v>77</v>
      </c>
      <c r="D125" s="141"/>
      <c r="E125" s="229"/>
      <c r="F125" s="141"/>
      <c r="G125" s="229"/>
      <c r="H125" s="229">
        <v>0</v>
      </c>
      <c r="I125" s="220"/>
      <c r="J125" s="214"/>
      <c r="K125" s="229"/>
      <c r="L125" s="214"/>
      <c r="M125" s="220"/>
      <c r="N125" s="214"/>
      <c r="O125" s="214">
        <f t="shared" si="21"/>
        <v>0</v>
      </c>
      <c r="P125" s="223"/>
      <c r="Q125" s="223"/>
      <c r="R125" s="271">
        <f>F125</f>
        <v>0</v>
      </c>
      <c r="S125" s="272">
        <f t="shared" si="27"/>
        <v>-100</v>
      </c>
      <c r="T125" s="257">
        <f>F125*1.03</f>
        <v>0</v>
      </c>
      <c r="U125" s="256">
        <f t="shared" si="29"/>
        <v>-100</v>
      </c>
      <c r="V125" s="256">
        <f t="shared" si="28"/>
        <v>-100</v>
      </c>
      <c r="W125" s="250">
        <f t="shared" si="25"/>
        <v>0</v>
      </c>
      <c r="X125" s="267"/>
      <c r="Y125" s="49"/>
    </row>
    <row r="126" spans="1:25" ht="12" customHeight="1">
      <c r="A126" s="12" t="s">
        <v>31</v>
      </c>
      <c r="B126" s="13" t="s">
        <v>99</v>
      </c>
      <c r="C126" s="40" t="s">
        <v>77</v>
      </c>
      <c r="D126" s="141"/>
      <c r="E126" s="229"/>
      <c r="F126" s="141"/>
      <c r="G126" s="229"/>
      <c r="H126" s="229">
        <v>2.4</v>
      </c>
      <c r="I126" s="220"/>
      <c r="J126" s="214">
        <f t="shared" si="20"/>
        <v>-2.4</v>
      </c>
      <c r="K126" s="229">
        <f>H126*1.049</f>
        <v>2.5176</v>
      </c>
      <c r="L126" s="214">
        <f t="shared" si="22"/>
        <v>4.8999999999999915</v>
      </c>
      <c r="M126" s="220"/>
      <c r="N126" s="214"/>
      <c r="O126" s="214">
        <f t="shared" si="21"/>
        <v>-2.5176</v>
      </c>
      <c r="P126" s="223"/>
      <c r="Q126" s="223"/>
      <c r="R126" s="271">
        <f>F126</f>
        <v>0</v>
      </c>
      <c r="S126" s="272"/>
      <c r="T126" s="257">
        <f>F126*1.03</f>
        <v>0</v>
      </c>
      <c r="U126" s="256">
        <f t="shared" si="29"/>
        <v>-100</v>
      </c>
      <c r="V126" s="256">
        <f t="shared" si="28"/>
        <v>-100</v>
      </c>
      <c r="W126" s="250"/>
      <c r="X126" s="267"/>
      <c r="Y126" s="49"/>
    </row>
    <row r="127" spans="1:25" s="33" customFormat="1" ht="12" customHeight="1">
      <c r="A127" s="174">
        <v>18</v>
      </c>
      <c r="B127" s="167" t="s">
        <v>100</v>
      </c>
      <c r="C127" s="168" t="s">
        <v>77</v>
      </c>
      <c r="D127" s="181">
        <f aca="true" t="shared" si="33" ref="D127:K127">D128+D131+D132</f>
        <v>0</v>
      </c>
      <c r="E127" s="181">
        <f t="shared" si="33"/>
        <v>0</v>
      </c>
      <c r="F127" s="181">
        <f t="shared" si="33"/>
        <v>0</v>
      </c>
      <c r="G127" s="181">
        <f t="shared" si="33"/>
        <v>0</v>
      </c>
      <c r="H127" s="391">
        <f t="shared" si="33"/>
        <v>132.8094</v>
      </c>
      <c r="I127" s="266">
        <f t="shared" si="33"/>
        <v>61.59</v>
      </c>
      <c r="J127" s="346">
        <f t="shared" si="20"/>
        <v>-71.21940000000001</v>
      </c>
      <c r="K127" s="391">
        <f t="shared" si="33"/>
        <v>142.1728674</v>
      </c>
      <c r="L127" s="346">
        <f t="shared" si="22"/>
        <v>7.050304722406679</v>
      </c>
      <c r="M127" s="350">
        <f>M128+M131+M132</f>
        <v>65.89689</v>
      </c>
      <c r="N127" s="346">
        <f aca="true" t="shared" si="34" ref="N127:N133">M127/I127*100-100</f>
        <v>6.9928397467121215</v>
      </c>
      <c r="O127" s="346">
        <f t="shared" si="21"/>
        <v>-76.2759774</v>
      </c>
      <c r="P127" s="181">
        <f>M127/($M$163+1E-103)*100</f>
        <v>23.04029488527307</v>
      </c>
      <c r="Q127" s="181">
        <f>N127/($M$163+1E-103)*100</f>
        <v>2.4449877657307577</v>
      </c>
      <c r="R127" s="180">
        <f>Q128+Q131+Q132</f>
        <v>0</v>
      </c>
      <c r="S127" s="172">
        <f>R127/(F127+1E-106)*100-100</f>
        <v>-100</v>
      </c>
      <c r="T127" s="180">
        <f>S128+S131+S132</f>
        <v>0</v>
      </c>
      <c r="U127" s="171">
        <f t="shared" si="29"/>
        <v>-100</v>
      </c>
      <c r="V127" s="171">
        <f t="shared" si="28"/>
        <v>-100</v>
      </c>
      <c r="W127" s="172">
        <f aca="true" t="shared" si="35" ref="V127:W156">T127-L127</f>
        <v>-7.050304722406679</v>
      </c>
      <c r="X127" s="175"/>
      <c r="Y127" s="50"/>
    </row>
    <row r="128" spans="1:24" ht="12" customHeight="1">
      <c r="A128" s="12" t="s">
        <v>31</v>
      </c>
      <c r="B128" s="13" t="s">
        <v>101</v>
      </c>
      <c r="C128" s="40" t="s">
        <v>77</v>
      </c>
      <c r="D128" s="141"/>
      <c r="E128" s="229"/>
      <c r="F128" s="141"/>
      <c r="G128" s="229"/>
      <c r="H128" s="229">
        <v>99.7</v>
      </c>
      <c r="I128" s="322">
        <f>7.5*12*0.5</f>
        <v>45</v>
      </c>
      <c r="J128" s="214">
        <f t="shared" si="20"/>
        <v>-54.7</v>
      </c>
      <c r="K128" s="229">
        <f>H128*1.071</f>
        <v>106.7787</v>
      </c>
      <c r="L128" s="214">
        <f t="shared" si="22"/>
        <v>7.099999999999994</v>
      </c>
      <c r="M128" s="220">
        <f>I128*1.071</f>
        <v>48.195</v>
      </c>
      <c r="N128" s="214">
        <f t="shared" si="34"/>
        <v>7.099999999999994</v>
      </c>
      <c r="O128" s="214">
        <f t="shared" si="21"/>
        <v>-58.5837</v>
      </c>
      <c r="P128" s="223"/>
      <c r="Q128" s="249">
        <f>F128</f>
        <v>0</v>
      </c>
      <c r="R128" s="250">
        <f aca="true" t="shared" si="36" ref="R128:R156">Q128/(F128+1E-106)*100-100</f>
        <v>-100</v>
      </c>
      <c r="S128" s="273">
        <f>Q128*1.051</f>
        <v>0</v>
      </c>
      <c r="T128" s="256">
        <f aca="true" t="shared" si="37" ref="T128:T156">S128/(Q128+1E-106)*100-100</f>
        <v>-100</v>
      </c>
      <c r="U128" s="256">
        <f aca="true" t="shared" si="38" ref="U128:U134">S128/(F128+1E-106)*100-100</f>
        <v>-100</v>
      </c>
      <c r="V128" s="250">
        <f t="shared" si="35"/>
        <v>-106.7787</v>
      </c>
      <c r="W128" s="267" t="e">
        <f>S128/($S$163+1E-103)*100</f>
        <v>#REF!</v>
      </c>
      <c r="X128" s="46"/>
    </row>
    <row r="129" spans="1:24" ht="12" customHeight="1">
      <c r="A129" s="12"/>
      <c r="B129" s="13" t="s">
        <v>102</v>
      </c>
      <c r="C129" s="131" t="s">
        <v>92</v>
      </c>
      <c r="D129" s="219">
        <f aca="true" t="shared" si="39" ref="D129:K129">D128/12/(D130+1E-100)*1000</f>
        <v>0</v>
      </c>
      <c r="E129" s="214">
        <f t="shared" si="39"/>
        <v>0</v>
      </c>
      <c r="F129" s="219">
        <f t="shared" si="39"/>
        <v>0</v>
      </c>
      <c r="G129" s="214">
        <f>G128/3/(G130+1E-100)*1000</f>
        <v>0</v>
      </c>
      <c r="H129" s="214">
        <f>H128/12/(H130+1E-100)*1000</f>
        <v>8308.333333333334</v>
      </c>
      <c r="I129" s="337">
        <f>I128/12/(I130+1E-100)*1000</f>
        <v>7500</v>
      </c>
      <c r="J129" s="214">
        <f t="shared" si="20"/>
        <v>-808.3333333333339</v>
      </c>
      <c r="K129" s="214">
        <f t="shared" si="39"/>
        <v>8898.225</v>
      </c>
      <c r="L129" s="214">
        <f t="shared" si="22"/>
        <v>7.099999999999994</v>
      </c>
      <c r="M129" s="216">
        <f>M128/12/(M130+1E-100)*1000</f>
        <v>8032.500000000001</v>
      </c>
      <c r="N129" s="214">
        <f t="shared" si="34"/>
        <v>7.100000000000023</v>
      </c>
      <c r="O129" s="214">
        <f t="shared" si="21"/>
        <v>-865.7249999999995</v>
      </c>
      <c r="P129" s="223"/>
      <c r="Q129" s="26">
        <f>F129</f>
        <v>0</v>
      </c>
      <c r="R129" s="16">
        <f t="shared" si="36"/>
        <v>-100</v>
      </c>
      <c r="S129" s="26">
        <f>S128/12/(S130+1E-100)*1000</f>
        <v>0</v>
      </c>
      <c r="T129" s="17">
        <f t="shared" si="37"/>
        <v>-100</v>
      </c>
      <c r="U129" s="17">
        <f t="shared" si="38"/>
        <v>-100</v>
      </c>
      <c r="V129" s="16">
        <f t="shared" si="35"/>
        <v>-8898.225</v>
      </c>
      <c r="W129" s="36"/>
      <c r="X129" s="46"/>
    </row>
    <row r="130" spans="1:24" ht="12" customHeight="1">
      <c r="A130" s="12"/>
      <c r="B130" s="13" t="s">
        <v>93</v>
      </c>
      <c r="C130" s="131" t="s">
        <v>94</v>
      </c>
      <c r="D130" s="141"/>
      <c r="E130" s="229"/>
      <c r="F130" s="141"/>
      <c r="G130" s="229"/>
      <c r="H130" s="229">
        <v>1</v>
      </c>
      <c r="I130" s="322">
        <v>0.5</v>
      </c>
      <c r="J130" s="214">
        <f t="shared" si="20"/>
        <v>-0.5</v>
      </c>
      <c r="K130" s="229">
        <v>1</v>
      </c>
      <c r="L130" s="214">
        <f t="shared" si="22"/>
        <v>0</v>
      </c>
      <c r="M130" s="220">
        <f>I130</f>
        <v>0.5</v>
      </c>
      <c r="N130" s="214">
        <f t="shared" si="34"/>
        <v>0</v>
      </c>
      <c r="O130" s="214">
        <f t="shared" si="21"/>
        <v>-0.5</v>
      </c>
      <c r="P130" s="223"/>
      <c r="Q130" s="249">
        <f>F130</f>
        <v>0</v>
      </c>
      <c r="R130" s="250">
        <f t="shared" si="36"/>
        <v>-100</v>
      </c>
      <c r="S130" s="249">
        <f>F130</f>
        <v>0</v>
      </c>
      <c r="T130" s="256">
        <f t="shared" si="37"/>
        <v>-100</v>
      </c>
      <c r="U130" s="256">
        <f t="shared" si="38"/>
        <v>-100</v>
      </c>
      <c r="V130" s="250">
        <f t="shared" si="35"/>
        <v>-1</v>
      </c>
      <c r="W130" s="267" t="e">
        <f>S130/($S$163+1E-103)*100</f>
        <v>#REF!</v>
      </c>
      <c r="X130" s="46"/>
    </row>
    <row r="131" spans="1:24" ht="12" customHeight="1">
      <c r="A131" s="12" t="s">
        <v>31</v>
      </c>
      <c r="B131" s="4" t="s">
        <v>171</v>
      </c>
      <c r="C131" s="40" t="s">
        <v>77</v>
      </c>
      <c r="D131" s="141"/>
      <c r="E131" s="229"/>
      <c r="F131" s="141"/>
      <c r="G131" s="229"/>
      <c r="H131" s="229">
        <f>H128*0.302</f>
        <v>30.1094</v>
      </c>
      <c r="I131" s="322">
        <f>I128*0.302</f>
        <v>13.59</v>
      </c>
      <c r="J131" s="214">
        <f t="shared" si="20"/>
        <v>-16.5194</v>
      </c>
      <c r="K131" s="229">
        <f>K128*0.302</f>
        <v>32.2471674</v>
      </c>
      <c r="L131" s="214">
        <f t="shared" si="22"/>
        <v>7.099999999999994</v>
      </c>
      <c r="M131" s="220">
        <f>M128*0.302</f>
        <v>14.55489</v>
      </c>
      <c r="N131" s="214">
        <f t="shared" si="34"/>
        <v>7.099999999999994</v>
      </c>
      <c r="O131" s="214">
        <f t="shared" si="21"/>
        <v>-17.692277400000002</v>
      </c>
      <c r="P131" s="223"/>
      <c r="Q131" s="249">
        <f>F131</f>
        <v>0</v>
      </c>
      <c r="R131" s="250">
        <f t="shared" si="36"/>
        <v>-100</v>
      </c>
      <c r="S131" s="23">
        <f>S128*0.342</f>
        <v>0</v>
      </c>
      <c r="T131" s="256">
        <f t="shared" si="37"/>
        <v>-100</v>
      </c>
      <c r="U131" s="256">
        <f t="shared" si="38"/>
        <v>-100</v>
      </c>
      <c r="V131" s="250">
        <f t="shared" si="35"/>
        <v>-32.2471674</v>
      </c>
      <c r="W131" s="267" t="e">
        <f>S131/($S$163+1E-103)*100</f>
        <v>#REF!</v>
      </c>
      <c r="X131" s="46"/>
    </row>
    <row r="132" spans="1:24" ht="12" customHeight="1">
      <c r="A132" s="12" t="s">
        <v>31</v>
      </c>
      <c r="B132" s="13" t="s">
        <v>103</v>
      </c>
      <c r="C132" s="40" t="s">
        <v>77</v>
      </c>
      <c r="D132" s="141"/>
      <c r="E132" s="229"/>
      <c r="F132" s="141"/>
      <c r="G132" s="229"/>
      <c r="H132" s="229">
        <v>3</v>
      </c>
      <c r="I132" s="322">
        <v>3</v>
      </c>
      <c r="J132" s="214">
        <f t="shared" si="20"/>
        <v>0</v>
      </c>
      <c r="K132" s="229">
        <f>H132*1.049</f>
        <v>3.147</v>
      </c>
      <c r="L132" s="214">
        <f t="shared" si="22"/>
        <v>4.8999999999999915</v>
      </c>
      <c r="M132" s="220">
        <f>I132*1.049</f>
        <v>3.147</v>
      </c>
      <c r="N132" s="214">
        <f t="shared" si="34"/>
        <v>4.8999999999999915</v>
      </c>
      <c r="O132" s="214">
        <f t="shared" si="21"/>
        <v>0</v>
      </c>
      <c r="P132" s="223"/>
      <c r="Q132" s="249">
        <f>F132</f>
        <v>0</v>
      </c>
      <c r="R132" s="250">
        <f t="shared" si="36"/>
        <v>-100</v>
      </c>
      <c r="S132" s="249">
        <f>F132*1.03</f>
        <v>0</v>
      </c>
      <c r="T132" s="256">
        <f t="shared" si="37"/>
        <v>-100</v>
      </c>
      <c r="U132" s="256">
        <f t="shared" si="38"/>
        <v>-100</v>
      </c>
      <c r="V132" s="250">
        <f t="shared" si="35"/>
        <v>-3.147</v>
      </c>
      <c r="W132" s="267" t="e">
        <f>S132/($S$163+1E-103)*100</f>
        <v>#REF!</v>
      </c>
      <c r="X132" s="46"/>
    </row>
    <row r="133" spans="1:24" s="33" customFormat="1" ht="12" customHeight="1">
      <c r="A133" s="174">
        <v>19</v>
      </c>
      <c r="B133" s="185" t="s">
        <v>104</v>
      </c>
      <c r="C133" s="168" t="s">
        <v>77</v>
      </c>
      <c r="D133" s="181">
        <f aca="true" t="shared" si="40" ref="D133:K133">D134+D137+D138</f>
        <v>0</v>
      </c>
      <c r="E133" s="181">
        <f t="shared" si="40"/>
        <v>0</v>
      </c>
      <c r="F133" s="181">
        <f t="shared" si="40"/>
        <v>0</v>
      </c>
      <c r="G133" s="181">
        <f t="shared" si="40"/>
        <v>0</v>
      </c>
      <c r="H133" s="182">
        <f t="shared" si="40"/>
        <v>8</v>
      </c>
      <c r="I133" s="181">
        <f t="shared" si="40"/>
        <v>3</v>
      </c>
      <c r="J133" s="346">
        <f t="shared" si="20"/>
        <v>-5</v>
      </c>
      <c r="K133" s="182">
        <f t="shared" si="40"/>
        <v>8.392</v>
      </c>
      <c r="L133" s="346">
        <f t="shared" si="22"/>
        <v>4.8999999999999915</v>
      </c>
      <c r="M133" s="347">
        <f>M134+M137+M138</f>
        <v>3.147</v>
      </c>
      <c r="N133" s="346">
        <f t="shared" si="34"/>
        <v>4.8999999999999915</v>
      </c>
      <c r="O133" s="346">
        <f t="shared" si="21"/>
        <v>-5.244999999999999</v>
      </c>
      <c r="P133" s="181">
        <f>M133/($M$163+1E-103)*100</f>
        <v>1.1003221548688313</v>
      </c>
      <c r="Q133" s="180">
        <f>Q134+Q137+Q138</f>
        <v>0</v>
      </c>
      <c r="R133" s="172">
        <f t="shared" si="36"/>
        <v>-100</v>
      </c>
      <c r="S133" s="180">
        <f>S134+S137+S138</f>
        <v>0</v>
      </c>
      <c r="T133" s="171">
        <f t="shared" si="37"/>
        <v>-100</v>
      </c>
      <c r="U133" s="171">
        <f t="shared" si="38"/>
        <v>-100</v>
      </c>
      <c r="V133" s="172">
        <f t="shared" si="35"/>
        <v>-8.392</v>
      </c>
      <c r="W133" s="175" t="e">
        <f>S133/($S$163+1E-103)*100</f>
        <v>#REF!</v>
      </c>
      <c r="X133" s="179"/>
    </row>
    <row r="134" spans="1:24" ht="12" customHeight="1" hidden="1">
      <c r="A134" s="12" t="s">
        <v>31</v>
      </c>
      <c r="B134" s="13" t="s">
        <v>101</v>
      </c>
      <c r="C134" s="40" t="s">
        <v>77</v>
      </c>
      <c r="D134" s="141"/>
      <c r="E134" s="229"/>
      <c r="F134" s="141"/>
      <c r="G134" s="229"/>
      <c r="H134" s="229"/>
      <c r="I134" s="322"/>
      <c r="J134" s="214">
        <f t="shared" si="20"/>
        <v>0</v>
      </c>
      <c r="K134" s="229"/>
      <c r="L134" s="214"/>
      <c r="M134" s="220"/>
      <c r="N134" s="214"/>
      <c r="O134" s="214">
        <f t="shared" si="21"/>
        <v>0</v>
      </c>
      <c r="P134" s="223"/>
      <c r="Q134" s="257">
        <f>F134</f>
        <v>0</v>
      </c>
      <c r="R134" s="250">
        <f t="shared" si="36"/>
        <v>-100</v>
      </c>
      <c r="S134" s="273">
        <f>Q134*1.051</f>
        <v>0</v>
      </c>
      <c r="T134" s="256">
        <f t="shared" si="37"/>
        <v>-100</v>
      </c>
      <c r="U134" s="256">
        <f t="shared" si="38"/>
        <v>-100</v>
      </c>
      <c r="V134" s="250">
        <f t="shared" si="35"/>
        <v>0</v>
      </c>
      <c r="W134" s="267" t="e">
        <f>S134/($S$163+1E-103)*100</f>
        <v>#REF!</v>
      </c>
      <c r="X134" s="46"/>
    </row>
    <row r="135" spans="1:24" ht="12" customHeight="1" hidden="1">
      <c r="A135" s="12"/>
      <c r="B135" s="13" t="s">
        <v>102</v>
      </c>
      <c r="C135" s="131" t="s">
        <v>92</v>
      </c>
      <c r="D135" s="219">
        <f>D134/12/(D136+1E-100)*1000</f>
        <v>0</v>
      </c>
      <c r="E135" s="214">
        <f>E134/12/(E136+1E-100)*1000</f>
        <v>0</v>
      </c>
      <c r="F135" s="219">
        <f>F134/12/(F136+1E-100)*1000</f>
        <v>0</v>
      </c>
      <c r="G135" s="214">
        <f>G134/3/(G136+1E-100)*1000</f>
        <v>0</v>
      </c>
      <c r="H135" s="214"/>
      <c r="I135" s="337"/>
      <c r="J135" s="214">
        <f t="shared" si="20"/>
        <v>0</v>
      </c>
      <c r="K135" s="214"/>
      <c r="L135" s="214"/>
      <c r="M135" s="216"/>
      <c r="N135" s="214"/>
      <c r="O135" s="214">
        <f t="shared" si="21"/>
        <v>0</v>
      </c>
      <c r="P135" s="223"/>
      <c r="Q135" s="38">
        <f>F135</f>
        <v>0</v>
      </c>
      <c r="R135" s="16">
        <f t="shared" si="36"/>
        <v>-100</v>
      </c>
      <c r="S135" s="26">
        <f>S134/12/(S136+1E-100)*1000</f>
        <v>0</v>
      </c>
      <c r="T135" s="17">
        <f t="shared" si="37"/>
        <v>-100</v>
      </c>
      <c r="U135" s="17">
        <f aca="true" t="shared" si="41" ref="U135:U156">S135/(F135+1E-106)*100-100</f>
        <v>-100</v>
      </c>
      <c r="V135" s="16">
        <f t="shared" si="35"/>
        <v>0</v>
      </c>
      <c r="W135" s="36"/>
      <c r="X135" s="46"/>
    </row>
    <row r="136" spans="1:24" ht="12" customHeight="1" hidden="1">
      <c r="A136" s="12"/>
      <c r="B136" s="13" t="s">
        <v>93</v>
      </c>
      <c r="C136" s="131" t="s">
        <v>94</v>
      </c>
      <c r="D136" s="141"/>
      <c r="E136" s="229"/>
      <c r="F136" s="141"/>
      <c r="G136" s="229"/>
      <c r="H136" s="229"/>
      <c r="I136" s="322"/>
      <c r="J136" s="214">
        <f t="shared" si="20"/>
        <v>0</v>
      </c>
      <c r="K136" s="229"/>
      <c r="L136" s="214"/>
      <c r="M136" s="220"/>
      <c r="N136" s="214"/>
      <c r="O136" s="214">
        <f t="shared" si="21"/>
        <v>0</v>
      </c>
      <c r="P136" s="223"/>
      <c r="Q136" s="257">
        <f>F136</f>
        <v>0</v>
      </c>
      <c r="R136" s="250">
        <f t="shared" si="36"/>
        <v>-100</v>
      </c>
      <c r="S136" s="249">
        <f>F136</f>
        <v>0</v>
      </c>
      <c r="T136" s="256">
        <f t="shared" si="37"/>
        <v>-100</v>
      </c>
      <c r="U136" s="256">
        <f t="shared" si="41"/>
        <v>-100</v>
      </c>
      <c r="V136" s="250">
        <f t="shared" si="35"/>
        <v>0</v>
      </c>
      <c r="W136" s="267" t="e">
        <f aca="true" t="shared" si="42" ref="W136:W156">S136/($S$163+1E-103)*100</f>
        <v>#REF!</v>
      </c>
      <c r="X136" s="46"/>
    </row>
    <row r="137" spans="1:24" ht="12" customHeight="1" hidden="1">
      <c r="A137" s="12" t="s">
        <v>31</v>
      </c>
      <c r="B137" s="4" t="s">
        <v>171</v>
      </c>
      <c r="C137" s="40" t="s">
        <v>77</v>
      </c>
      <c r="D137" s="141"/>
      <c r="E137" s="229"/>
      <c r="F137" s="141"/>
      <c r="G137" s="229"/>
      <c r="H137" s="229"/>
      <c r="I137" s="322"/>
      <c r="J137" s="214">
        <f>I137-H137</f>
        <v>0</v>
      </c>
      <c r="K137" s="229"/>
      <c r="L137" s="214"/>
      <c r="M137" s="220"/>
      <c r="N137" s="214"/>
      <c r="O137" s="214">
        <f aca="true" t="shared" si="43" ref="O137:O164">M137-K137</f>
        <v>0</v>
      </c>
      <c r="P137" s="223"/>
      <c r="Q137" s="257">
        <f>F137</f>
        <v>0</v>
      </c>
      <c r="R137" s="250">
        <f t="shared" si="36"/>
        <v>-100</v>
      </c>
      <c r="S137" s="23">
        <f>S134*0.342</f>
        <v>0</v>
      </c>
      <c r="T137" s="256">
        <f t="shared" si="37"/>
        <v>-100</v>
      </c>
      <c r="U137" s="256">
        <f t="shared" si="41"/>
        <v>-100</v>
      </c>
      <c r="V137" s="250">
        <f t="shared" si="35"/>
        <v>0</v>
      </c>
      <c r="W137" s="267" t="e">
        <f t="shared" si="42"/>
        <v>#REF!</v>
      </c>
      <c r="X137" s="46"/>
    </row>
    <row r="138" spans="1:24" ht="12" customHeight="1">
      <c r="A138" s="12" t="s">
        <v>31</v>
      </c>
      <c r="B138" s="13" t="s">
        <v>103</v>
      </c>
      <c r="C138" s="40" t="s">
        <v>77</v>
      </c>
      <c r="D138" s="141"/>
      <c r="E138" s="229"/>
      <c r="F138" s="141"/>
      <c r="G138" s="229"/>
      <c r="H138" s="229">
        <v>8</v>
      </c>
      <c r="I138" s="322">
        <v>3</v>
      </c>
      <c r="J138" s="214">
        <f>I138-H138</f>
        <v>-5</v>
      </c>
      <c r="K138" s="229">
        <f>H138*1.049</f>
        <v>8.392</v>
      </c>
      <c r="L138" s="214">
        <f>K138/H138*100-100</f>
        <v>4.8999999999999915</v>
      </c>
      <c r="M138" s="220">
        <f>I138*1.049</f>
        <v>3.147</v>
      </c>
      <c r="N138" s="214">
        <f>M138/I138*100-100</f>
        <v>4.8999999999999915</v>
      </c>
      <c r="O138" s="214">
        <f t="shared" si="43"/>
        <v>-5.244999999999999</v>
      </c>
      <c r="P138" s="223"/>
      <c r="Q138" s="257">
        <f>F138</f>
        <v>0</v>
      </c>
      <c r="R138" s="250">
        <f t="shared" si="36"/>
        <v>-100</v>
      </c>
      <c r="S138" s="249">
        <f>F138*1.03</f>
        <v>0</v>
      </c>
      <c r="T138" s="256">
        <f t="shared" si="37"/>
        <v>-100</v>
      </c>
      <c r="U138" s="256">
        <f t="shared" si="41"/>
        <v>-100</v>
      </c>
      <c r="V138" s="250">
        <f t="shared" si="35"/>
        <v>-8.392</v>
      </c>
      <c r="W138" s="267" t="e">
        <f t="shared" si="42"/>
        <v>#REF!</v>
      </c>
      <c r="X138" s="46"/>
    </row>
    <row r="139" spans="1:24" s="33" customFormat="1" ht="12" customHeight="1">
      <c r="A139" s="174">
        <v>20</v>
      </c>
      <c r="B139" s="167" t="s">
        <v>105</v>
      </c>
      <c r="C139" s="168" t="s">
        <v>77</v>
      </c>
      <c r="D139" s="181">
        <f>D140+D141+D142+D143</f>
        <v>0</v>
      </c>
      <c r="E139" s="181">
        <f aca="true" t="shared" si="44" ref="E139:M139">E140+E141+E142+E143</f>
        <v>0</v>
      </c>
      <c r="F139" s="181">
        <f t="shared" si="44"/>
        <v>0</v>
      </c>
      <c r="G139" s="181">
        <f t="shared" si="44"/>
        <v>0</v>
      </c>
      <c r="H139" s="182">
        <f>H140+H141+H142+H143</f>
        <v>5.8</v>
      </c>
      <c r="I139" s="181">
        <f>I140+I141+I142+I143</f>
        <v>5.8</v>
      </c>
      <c r="J139" s="346">
        <f>I139-H139</f>
        <v>0</v>
      </c>
      <c r="K139" s="182">
        <f t="shared" si="44"/>
        <v>5.888199999999999</v>
      </c>
      <c r="L139" s="346">
        <f>K139/H139*100-100</f>
        <v>1.5206896551724043</v>
      </c>
      <c r="M139" s="347">
        <f t="shared" si="44"/>
        <v>5.888199999999999</v>
      </c>
      <c r="N139" s="346">
        <f>M139/I139*100-100</f>
        <v>1.5206896551724043</v>
      </c>
      <c r="O139" s="346">
        <f t="shared" si="43"/>
        <v>0</v>
      </c>
      <c r="P139" s="181">
        <f>M139/($M$163+1E-103)*100</f>
        <v>2.058759743342438</v>
      </c>
      <c r="Q139" s="183">
        <f>Q140+Q141+Q142+Q143</f>
        <v>0</v>
      </c>
      <c r="R139" s="172">
        <f t="shared" si="36"/>
        <v>-100</v>
      </c>
      <c r="S139" s="180">
        <f>S140+S141+S142+S143</f>
        <v>0</v>
      </c>
      <c r="T139" s="171">
        <f t="shared" si="37"/>
        <v>-100</v>
      </c>
      <c r="U139" s="171">
        <f t="shared" si="41"/>
        <v>-100</v>
      </c>
      <c r="V139" s="172">
        <f t="shared" si="35"/>
        <v>-5.888199999999999</v>
      </c>
      <c r="W139" s="175" t="e">
        <f t="shared" si="42"/>
        <v>#REF!</v>
      </c>
      <c r="X139" s="179"/>
    </row>
    <row r="140" spans="1:24" ht="25.5">
      <c r="A140" s="12" t="s">
        <v>31</v>
      </c>
      <c r="B140" s="13" t="s">
        <v>106</v>
      </c>
      <c r="C140" s="40" t="s">
        <v>77</v>
      </c>
      <c r="D140" s="141"/>
      <c r="E140" s="229"/>
      <c r="F140" s="141"/>
      <c r="G140" s="229"/>
      <c r="H140" s="229">
        <v>4</v>
      </c>
      <c r="I140" s="322">
        <v>4</v>
      </c>
      <c r="J140" s="214">
        <f>I140-H140</f>
        <v>0</v>
      </c>
      <c r="K140" s="229">
        <v>4</v>
      </c>
      <c r="L140" s="214">
        <f>K140/H140*100-100</f>
        <v>0</v>
      </c>
      <c r="M140" s="220">
        <f>I140</f>
        <v>4</v>
      </c>
      <c r="N140" s="214">
        <f>M140/I140*100-100</f>
        <v>0</v>
      </c>
      <c r="O140" s="214">
        <f t="shared" si="43"/>
        <v>0</v>
      </c>
      <c r="P140" s="223"/>
      <c r="Q140" s="249">
        <f>F140</f>
        <v>0</v>
      </c>
      <c r="R140" s="250">
        <f t="shared" si="36"/>
        <v>-100</v>
      </c>
      <c r="S140" s="249">
        <f>F140*1.03</f>
        <v>0</v>
      </c>
      <c r="T140" s="256">
        <f t="shared" si="37"/>
        <v>-100</v>
      </c>
      <c r="U140" s="256">
        <f t="shared" si="41"/>
        <v>-100</v>
      </c>
      <c r="V140" s="250">
        <f t="shared" si="35"/>
        <v>-4</v>
      </c>
      <c r="W140" s="267" t="e">
        <f t="shared" si="42"/>
        <v>#REF!</v>
      </c>
      <c r="X140" s="30"/>
    </row>
    <row r="141" spans="1:24" ht="12.75">
      <c r="A141" s="12" t="s">
        <v>31</v>
      </c>
      <c r="B141" s="13" t="s">
        <v>107</v>
      </c>
      <c r="C141" s="40" t="s">
        <v>77</v>
      </c>
      <c r="D141" s="141"/>
      <c r="E141" s="229"/>
      <c r="F141" s="141"/>
      <c r="G141" s="229"/>
      <c r="H141" s="229"/>
      <c r="I141" s="322"/>
      <c r="J141" s="214"/>
      <c r="K141" s="229"/>
      <c r="L141" s="214"/>
      <c r="M141" s="220"/>
      <c r="N141" s="214"/>
      <c r="O141" s="214">
        <f t="shared" si="43"/>
        <v>0</v>
      </c>
      <c r="P141" s="223"/>
      <c r="Q141" s="249">
        <f>F141</f>
        <v>0</v>
      </c>
      <c r="R141" s="250">
        <f t="shared" si="36"/>
        <v>-100</v>
      </c>
      <c r="S141" s="249">
        <f>F141*1.03</f>
        <v>0</v>
      </c>
      <c r="T141" s="256">
        <f t="shared" si="37"/>
        <v>-100</v>
      </c>
      <c r="U141" s="256">
        <f t="shared" si="41"/>
        <v>-100</v>
      </c>
      <c r="V141" s="250">
        <f t="shared" si="35"/>
        <v>0</v>
      </c>
      <c r="W141" s="267" t="e">
        <f t="shared" si="42"/>
        <v>#REF!</v>
      </c>
      <c r="X141" s="37"/>
    </row>
    <row r="142" spans="1:24" ht="12.75">
      <c r="A142" s="12" t="s">
        <v>31</v>
      </c>
      <c r="B142" s="13" t="s">
        <v>108</v>
      </c>
      <c r="C142" s="40" t="s">
        <v>77</v>
      </c>
      <c r="D142" s="141"/>
      <c r="E142" s="229"/>
      <c r="F142" s="141"/>
      <c r="G142" s="229"/>
      <c r="H142" s="229"/>
      <c r="I142" s="322"/>
      <c r="J142" s="214"/>
      <c r="K142" s="229"/>
      <c r="L142" s="214"/>
      <c r="M142" s="220"/>
      <c r="N142" s="214"/>
      <c r="O142" s="214">
        <f t="shared" si="43"/>
        <v>0</v>
      </c>
      <c r="P142" s="223"/>
      <c r="Q142" s="249">
        <f>F142</f>
        <v>0</v>
      </c>
      <c r="R142" s="250">
        <f t="shared" si="36"/>
        <v>-100</v>
      </c>
      <c r="S142" s="249">
        <f>F142*1.03</f>
        <v>0</v>
      </c>
      <c r="T142" s="256">
        <f t="shared" si="37"/>
        <v>-100</v>
      </c>
      <c r="U142" s="256">
        <f t="shared" si="41"/>
        <v>-100</v>
      </c>
      <c r="V142" s="250">
        <f t="shared" si="35"/>
        <v>0</v>
      </c>
      <c r="W142" s="267" t="e">
        <f t="shared" si="42"/>
        <v>#REF!</v>
      </c>
      <c r="X142" s="37"/>
    </row>
    <row r="143" spans="1:24" ht="12.75">
      <c r="A143" s="12" t="s">
        <v>31</v>
      </c>
      <c r="B143" s="13" t="s">
        <v>103</v>
      </c>
      <c r="C143" s="40" t="s">
        <v>77</v>
      </c>
      <c r="D143" s="141"/>
      <c r="E143" s="229"/>
      <c r="F143" s="141"/>
      <c r="G143" s="229"/>
      <c r="H143" s="229">
        <v>1.8</v>
      </c>
      <c r="I143" s="322">
        <v>1.8</v>
      </c>
      <c r="J143" s="214">
        <f>I143-H143</f>
        <v>0</v>
      </c>
      <c r="K143" s="229">
        <f>M143</f>
        <v>1.8881999999999999</v>
      </c>
      <c r="L143" s="214">
        <f>K143/H143*100-100</f>
        <v>4.8999999999999915</v>
      </c>
      <c r="M143" s="220">
        <f>I143*1.049</f>
        <v>1.8881999999999999</v>
      </c>
      <c r="N143" s="214">
        <f>M143/I143*100-100</f>
        <v>4.8999999999999915</v>
      </c>
      <c r="O143" s="214">
        <f t="shared" si="43"/>
        <v>0</v>
      </c>
      <c r="P143" s="223"/>
      <c r="Q143" s="249">
        <f>F143</f>
        <v>0</v>
      </c>
      <c r="R143" s="250">
        <f t="shared" si="36"/>
        <v>-100</v>
      </c>
      <c r="S143" s="249">
        <f>F143*1.03</f>
        <v>0</v>
      </c>
      <c r="T143" s="256">
        <f t="shared" si="37"/>
        <v>-100</v>
      </c>
      <c r="U143" s="256">
        <f t="shared" si="41"/>
        <v>-100</v>
      </c>
      <c r="V143" s="250">
        <f t="shared" si="35"/>
        <v>-1.8881999999999999</v>
      </c>
      <c r="W143" s="267" t="e">
        <f t="shared" si="42"/>
        <v>#REF!</v>
      </c>
      <c r="X143" s="37"/>
    </row>
    <row r="144" spans="1:24" s="33" customFormat="1" ht="25.5">
      <c r="A144" s="174">
        <v>21</v>
      </c>
      <c r="B144" s="167" t="s">
        <v>109</v>
      </c>
      <c r="C144" s="168" t="s">
        <v>77</v>
      </c>
      <c r="D144" s="181">
        <f>D145+D146</f>
        <v>0</v>
      </c>
      <c r="E144" s="181">
        <f aca="true" t="shared" si="45" ref="E144:M144">E145+E146</f>
        <v>0</v>
      </c>
      <c r="F144" s="181">
        <f t="shared" si="45"/>
        <v>0</v>
      </c>
      <c r="G144" s="181">
        <f t="shared" si="45"/>
        <v>0</v>
      </c>
      <c r="H144" s="182">
        <f>H145+H146</f>
        <v>0</v>
      </c>
      <c r="I144" s="181">
        <f>I145+I146</f>
        <v>0</v>
      </c>
      <c r="J144" s="346">
        <f>I144-H144</f>
        <v>0</v>
      </c>
      <c r="K144" s="182">
        <f t="shared" si="45"/>
        <v>0</v>
      </c>
      <c r="L144" s="346"/>
      <c r="M144" s="347">
        <f t="shared" si="45"/>
        <v>0</v>
      </c>
      <c r="N144" s="346"/>
      <c r="O144" s="346">
        <f t="shared" si="43"/>
        <v>0</v>
      </c>
      <c r="P144" s="181">
        <f>M144/($M$163+1E-103)*100</f>
        <v>0</v>
      </c>
      <c r="Q144" s="180" t="e">
        <f>Q145+Q146+#REF!</f>
        <v>#REF!</v>
      </c>
      <c r="R144" s="172" t="e">
        <f t="shared" si="36"/>
        <v>#REF!</v>
      </c>
      <c r="S144" s="180" t="e">
        <f>S145+S146+#REF!</f>
        <v>#REF!</v>
      </c>
      <c r="T144" s="171" t="e">
        <f t="shared" si="37"/>
        <v>#REF!</v>
      </c>
      <c r="U144" s="171" t="e">
        <f t="shared" si="41"/>
        <v>#REF!</v>
      </c>
      <c r="V144" s="172" t="e">
        <f t="shared" si="35"/>
        <v>#REF!</v>
      </c>
      <c r="W144" s="175" t="e">
        <f t="shared" si="42"/>
        <v>#REF!</v>
      </c>
      <c r="X144" s="179"/>
    </row>
    <row r="145" spans="1:24" ht="12.75">
      <c r="A145" s="12" t="s">
        <v>31</v>
      </c>
      <c r="B145" s="13" t="s">
        <v>110</v>
      </c>
      <c r="C145" s="40" t="s">
        <v>77</v>
      </c>
      <c r="D145" s="141"/>
      <c r="E145" s="229"/>
      <c r="F145" s="141"/>
      <c r="G145" s="229"/>
      <c r="H145" s="229"/>
      <c r="I145" s="322"/>
      <c r="J145" s="214"/>
      <c r="K145" s="229"/>
      <c r="L145" s="214"/>
      <c r="M145" s="220"/>
      <c r="N145" s="214"/>
      <c r="O145" s="214">
        <f t="shared" si="43"/>
        <v>0</v>
      </c>
      <c r="P145" s="214"/>
      <c r="Q145" s="249">
        <f>F145</f>
        <v>0</v>
      </c>
      <c r="R145" s="250">
        <f t="shared" si="36"/>
        <v>-100</v>
      </c>
      <c r="S145" s="249">
        <f>F145</f>
        <v>0</v>
      </c>
      <c r="T145" s="256">
        <f t="shared" si="37"/>
        <v>-100</v>
      </c>
      <c r="U145" s="256">
        <f t="shared" si="41"/>
        <v>-100</v>
      </c>
      <c r="V145" s="250">
        <f t="shared" si="35"/>
        <v>0</v>
      </c>
      <c r="W145" s="267" t="e">
        <f t="shared" si="42"/>
        <v>#REF!</v>
      </c>
      <c r="X145" s="30"/>
    </row>
    <row r="146" spans="1:24" ht="12.75">
      <c r="A146" s="12" t="s">
        <v>31</v>
      </c>
      <c r="B146" s="13" t="s">
        <v>111</v>
      </c>
      <c r="C146" s="40" t="s">
        <v>77</v>
      </c>
      <c r="D146" s="141"/>
      <c r="E146" s="229"/>
      <c r="F146" s="141"/>
      <c r="G146" s="229"/>
      <c r="H146" s="229"/>
      <c r="I146" s="322"/>
      <c r="J146" s="214"/>
      <c r="K146" s="229"/>
      <c r="L146" s="214"/>
      <c r="M146" s="220"/>
      <c r="N146" s="214"/>
      <c r="O146" s="214">
        <f t="shared" si="43"/>
        <v>0</v>
      </c>
      <c r="P146" s="214"/>
      <c r="Q146" s="249">
        <f>F146</f>
        <v>0</v>
      </c>
      <c r="R146" s="250">
        <f t="shared" si="36"/>
        <v>-100</v>
      </c>
      <c r="S146" s="249">
        <f>F146</f>
        <v>0</v>
      </c>
      <c r="T146" s="256">
        <f t="shared" si="37"/>
        <v>-100</v>
      </c>
      <c r="U146" s="256">
        <f t="shared" si="41"/>
        <v>-100</v>
      </c>
      <c r="V146" s="250">
        <f t="shared" si="35"/>
        <v>0</v>
      </c>
      <c r="W146" s="267" t="e">
        <f t="shared" si="42"/>
        <v>#REF!</v>
      </c>
      <c r="X146" s="30"/>
    </row>
    <row r="147" spans="1:24" ht="12.75" customHeight="1">
      <c r="A147" s="3">
        <v>22</v>
      </c>
      <c r="B147" s="13" t="s">
        <v>113</v>
      </c>
      <c r="C147" s="40" t="s">
        <v>77</v>
      </c>
      <c r="D147" s="141"/>
      <c r="E147" s="229"/>
      <c r="F147" s="141"/>
      <c r="G147" s="229"/>
      <c r="H147" s="229"/>
      <c r="I147" s="322"/>
      <c r="J147" s="214"/>
      <c r="K147" s="229"/>
      <c r="L147" s="214"/>
      <c r="M147" s="220"/>
      <c r="N147" s="214"/>
      <c r="O147" s="214">
        <f t="shared" si="43"/>
        <v>0</v>
      </c>
      <c r="P147" s="214"/>
      <c r="Q147" s="274">
        <f>F147*1.06</f>
        <v>0</v>
      </c>
      <c r="R147" s="250">
        <f t="shared" si="36"/>
        <v>-100</v>
      </c>
      <c r="S147" s="274">
        <f>F147*1.12</f>
        <v>0</v>
      </c>
      <c r="T147" s="256">
        <f t="shared" si="37"/>
        <v>-100</v>
      </c>
      <c r="U147" s="256">
        <f t="shared" si="41"/>
        <v>-100</v>
      </c>
      <c r="V147" s="250">
        <f t="shared" si="35"/>
        <v>0</v>
      </c>
      <c r="W147" s="267" t="e">
        <f t="shared" si="42"/>
        <v>#REF!</v>
      </c>
      <c r="X147" s="30"/>
    </row>
    <row r="148" spans="1:24" ht="16.5" customHeight="1">
      <c r="A148" s="202">
        <v>23</v>
      </c>
      <c r="B148" s="203" t="s">
        <v>114</v>
      </c>
      <c r="C148" s="204" t="s">
        <v>77</v>
      </c>
      <c r="D148" s="209">
        <f>D102+D111+D116+D117+D118+D121+D122+D123+D127+D133+D139+D144+D147</f>
        <v>0</v>
      </c>
      <c r="E148" s="209">
        <f>E102+E111+E116+E117+E118+E121+E122+E123+E127+E133+E139+E144+E147</f>
        <v>0</v>
      </c>
      <c r="F148" s="209">
        <f>F102+F111+F116+F117+F118+F121+F122+F123+F127+F133+F139+F144+F147</f>
        <v>0</v>
      </c>
      <c r="G148" s="209">
        <f>G102+G111+G116+G117+G118+G121+G122+G123+G127+G133+G139+G144+G147</f>
        <v>0</v>
      </c>
      <c r="H148" s="209">
        <f>H102+H111+H116+H117+H118+H121+H122+H123+H127+H133+H139+H144</f>
        <v>402.3862326602321</v>
      </c>
      <c r="I148" s="209">
        <f>I102+I111+I116+I117+I118+I121+I122+I123+I127+I133+I139+I144</f>
        <v>255.0922252003802</v>
      </c>
      <c r="J148" s="345">
        <f>I148-H148</f>
        <v>-147.2940074598519</v>
      </c>
      <c r="K148" s="209">
        <f>K102+K111+K116+K117+K118+K121+K122+K123+K127+K133+K139+K144</f>
        <v>443.7776096274004</v>
      </c>
      <c r="L148" s="209">
        <f>K148/(H148+1E-133)*100-100</f>
        <v>10.286479408980796</v>
      </c>
      <c r="M148" s="209">
        <f>M102+M111+M116+M117+M118+M121+M122+M123+M127+M133+M139+M144</f>
        <v>281.00714673196336</v>
      </c>
      <c r="N148" s="345">
        <f>M148/I148*100-100</f>
        <v>10.159040131946966</v>
      </c>
      <c r="O148" s="345">
        <f t="shared" si="43"/>
        <v>-162.77046289543705</v>
      </c>
      <c r="P148" s="345">
        <f>M148/($M$163+1E-103)*100</f>
        <v>98.25179193697358</v>
      </c>
      <c r="Q148" s="44" t="e">
        <f>R102+R111+R116+R117+R118+R121+R122+R123+R127+Q133+Q139+Q144+Q147</f>
        <v>#REF!</v>
      </c>
      <c r="R148" s="44" t="e">
        <f t="shared" si="36"/>
        <v>#REF!</v>
      </c>
      <c r="S148" s="45" t="e">
        <f>T102+T111+T116+T117+T118+T121+T122+T123+T127+S133+S139+S144+S147</f>
        <v>#REF!</v>
      </c>
      <c r="T148" s="206" t="e">
        <f t="shared" si="37"/>
        <v>#REF!</v>
      </c>
      <c r="U148" s="206" t="e">
        <f t="shared" si="41"/>
        <v>#REF!</v>
      </c>
      <c r="V148" s="44" t="e">
        <f t="shared" si="35"/>
        <v>#REF!</v>
      </c>
      <c r="W148" s="205" t="e">
        <f t="shared" si="42"/>
        <v>#REF!</v>
      </c>
      <c r="X148" s="207"/>
    </row>
    <row r="149" spans="1:24" ht="13.5" customHeight="1">
      <c r="A149" s="202">
        <v>24</v>
      </c>
      <c r="B149" s="203" t="s">
        <v>115</v>
      </c>
      <c r="C149" s="208" t="s">
        <v>116</v>
      </c>
      <c r="D149" s="209">
        <f>D148/(D23+1E-100)*1000</f>
        <v>0</v>
      </c>
      <c r="E149" s="209">
        <f>E148/(E23+1E-100)*1000</f>
        <v>0</v>
      </c>
      <c r="F149" s="209">
        <f>F148/(F23+1E-100)*1000</f>
        <v>0</v>
      </c>
      <c r="G149" s="209">
        <f>G148/(G23+1E-100)*1000</f>
        <v>0</v>
      </c>
      <c r="H149" s="315">
        <f>H148/H23*1000</f>
        <v>2220.674573180089</v>
      </c>
      <c r="I149" s="209">
        <f>I148/I23*1000</f>
        <v>1407.7937373089414</v>
      </c>
      <c r="J149" s="345">
        <f>I149-H149</f>
        <v>-812.8808358711474</v>
      </c>
      <c r="K149" s="209">
        <f>K148/K23*1000</f>
        <v>2449.103805890731</v>
      </c>
      <c r="L149" s="209"/>
      <c r="M149" s="209">
        <f>M148/M23*1000</f>
        <v>1550.812068057193</v>
      </c>
      <c r="N149" s="345">
        <f>M149/I149*100-100</f>
        <v>10.159040131946966</v>
      </c>
      <c r="O149" s="345">
        <f t="shared" si="43"/>
        <v>-898.291737833538</v>
      </c>
      <c r="P149" s="345">
        <f>M149/($M$163+1E-103)*100</f>
        <v>542.2284323232537</v>
      </c>
      <c r="Q149" s="61" t="e">
        <f>Q148/(R23+1E-100)*1000</f>
        <v>#REF!</v>
      </c>
      <c r="R149" s="41" t="e">
        <f t="shared" si="36"/>
        <v>#REF!</v>
      </c>
      <c r="S149" s="210" t="e">
        <f>S148/(T23+1E-100)*1000</f>
        <v>#REF!</v>
      </c>
      <c r="T149" s="206" t="e">
        <f t="shared" si="37"/>
        <v>#REF!</v>
      </c>
      <c r="U149" s="206" t="e">
        <f t="shared" si="41"/>
        <v>#REF!</v>
      </c>
      <c r="V149" s="44" t="e">
        <f t="shared" si="35"/>
        <v>#REF!</v>
      </c>
      <c r="W149" s="205" t="e">
        <f t="shared" si="42"/>
        <v>#REF!</v>
      </c>
      <c r="X149" s="211"/>
    </row>
    <row r="150" spans="1:24" ht="12.75" customHeight="1">
      <c r="A150" s="12"/>
      <c r="B150" s="13" t="s">
        <v>117</v>
      </c>
      <c r="C150" s="131" t="s">
        <v>26</v>
      </c>
      <c r="D150" s="219">
        <f aca="true" t="shared" si="46" ref="D150:K150">D151/(D148+1E-95)*100</f>
        <v>0</v>
      </c>
      <c r="E150" s="214">
        <f t="shared" si="46"/>
        <v>0</v>
      </c>
      <c r="F150" s="219">
        <f t="shared" si="46"/>
        <v>0</v>
      </c>
      <c r="G150" s="214">
        <f t="shared" si="46"/>
        <v>0</v>
      </c>
      <c r="H150" s="214">
        <f>H151/(H148+1E-95)*100</f>
        <v>2.0875465704843865</v>
      </c>
      <c r="I150" s="337">
        <f>I151/(I148+1E-95)*100</f>
        <v>1.9600754182423228</v>
      </c>
      <c r="J150" s="214">
        <f>I150-H150</f>
        <v>-0.12747115224206373</v>
      </c>
      <c r="K150" s="214">
        <f t="shared" si="46"/>
        <v>1.892839976098099</v>
      </c>
      <c r="L150" s="223">
        <f>K150/(H150+1E-133)*100-100</f>
        <v>-9.32705392728596</v>
      </c>
      <c r="M150" s="216">
        <f>M151/(M148+1E-95)*100</f>
        <v>1.7793141769341596</v>
      </c>
      <c r="N150" s="214">
        <f>M150/I150*100-100</f>
        <v>-9.222157455056447</v>
      </c>
      <c r="O150" s="214">
        <f t="shared" si="43"/>
        <v>-0.11352579916393934</v>
      </c>
      <c r="P150" s="214">
        <f>M150/($M$163+1E-103)*100</f>
        <v>0.6221222781547048</v>
      </c>
      <c r="Q150" s="56" t="e">
        <f>Q151/(Q148+1E-95)*100</f>
        <v>#REF!</v>
      </c>
      <c r="R150" s="48" t="e">
        <f t="shared" si="36"/>
        <v>#REF!</v>
      </c>
      <c r="S150" s="56" t="e">
        <f>S151/(S148+1E-95)*100</f>
        <v>#REF!</v>
      </c>
      <c r="T150" s="17" t="e">
        <f t="shared" si="37"/>
        <v>#REF!</v>
      </c>
      <c r="U150" s="17" t="e">
        <f t="shared" si="41"/>
        <v>#REF!</v>
      </c>
      <c r="V150" s="16" t="e">
        <f t="shared" si="35"/>
        <v>#REF!</v>
      </c>
      <c r="W150" s="36" t="e">
        <f t="shared" si="42"/>
        <v>#REF!</v>
      </c>
      <c r="X150" s="30"/>
    </row>
    <row r="151" spans="1:24" ht="12.75" customHeight="1">
      <c r="A151" s="174">
        <v>25</v>
      </c>
      <c r="B151" s="198" t="s">
        <v>118</v>
      </c>
      <c r="C151" s="186" t="s">
        <v>119</v>
      </c>
      <c r="D151" s="182">
        <f>D152+D153+D154+D155+D157+D158</f>
        <v>0</v>
      </c>
      <c r="E151" s="182">
        <f aca="true" t="shared" si="47" ref="E151:M151">E152+E153+E154+E155+E157+E158</f>
        <v>0</v>
      </c>
      <c r="F151" s="182">
        <f t="shared" si="47"/>
        <v>0</v>
      </c>
      <c r="G151" s="182">
        <f t="shared" si="47"/>
        <v>0</v>
      </c>
      <c r="H151" s="182">
        <f>H152+H153+H154+H155+H157+H158</f>
        <v>8.4</v>
      </c>
      <c r="I151" s="181">
        <f>I152+I153+I154+I155+I157+I158</f>
        <v>5</v>
      </c>
      <c r="J151" s="346">
        <f>I151-H151</f>
        <v>-3.4000000000000004</v>
      </c>
      <c r="K151" s="182">
        <f t="shared" si="47"/>
        <v>8.4</v>
      </c>
      <c r="L151" s="182">
        <f>K151/(H151+1E-133)*100-100</f>
        <v>0</v>
      </c>
      <c r="M151" s="181">
        <f t="shared" si="47"/>
        <v>5</v>
      </c>
      <c r="N151" s="346">
        <f>M151/I151*100-100</f>
        <v>0</v>
      </c>
      <c r="O151" s="346">
        <f t="shared" si="43"/>
        <v>-3.4000000000000004</v>
      </c>
      <c r="P151" s="346">
        <f>M151/($M$163+1E-103)*100</f>
        <v>1.7482080630264245</v>
      </c>
      <c r="Q151" s="199">
        <f>Q152+Q153+Q154+Q155+Q158</f>
        <v>0</v>
      </c>
      <c r="R151" s="200">
        <f t="shared" si="36"/>
        <v>-100</v>
      </c>
      <c r="S151" s="199">
        <f>S152+S153+S154+S155+S158</f>
        <v>0</v>
      </c>
      <c r="T151" s="201">
        <f t="shared" si="37"/>
        <v>-100</v>
      </c>
      <c r="U151" s="201">
        <f t="shared" si="41"/>
        <v>-100</v>
      </c>
      <c r="V151" s="170">
        <f t="shared" si="35"/>
        <v>-8.4</v>
      </c>
      <c r="W151" s="169" t="e">
        <f t="shared" si="42"/>
        <v>#REF!</v>
      </c>
      <c r="X151" s="173"/>
    </row>
    <row r="152" spans="1:24" ht="15.75" customHeight="1">
      <c r="A152" s="12" t="s">
        <v>31</v>
      </c>
      <c r="B152" s="13" t="s">
        <v>120</v>
      </c>
      <c r="C152" s="13"/>
      <c r="D152" s="141"/>
      <c r="E152" s="229"/>
      <c r="F152" s="141"/>
      <c r="G152" s="229"/>
      <c r="H152" s="229"/>
      <c r="I152" s="322"/>
      <c r="J152" s="214"/>
      <c r="K152" s="229"/>
      <c r="L152" s="223"/>
      <c r="M152" s="220"/>
      <c r="N152" s="214"/>
      <c r="O152" s="214"/>
      <c r="P152" s="214"/>
      <c r="Q152" s="275">
        <f>F152</f>
        <v>0</v>
      </c>
      <c r="R152" s="272">
        <f t="shared" si="36"/>
        <v>-100</v>
      </c>
      <c r="S152" s="275">
        <f>F152</f>
        <v>0</v>
      </c>
      <c r="T152" s="256">
        <f t="shared" si="37"/>
        <v>-100</v>
      </c>
      <c r="U152" s="256">
        <f t="shared" si="41"/>
        <v>-100</v>
      </c>
      <c r="V152" s="250">
        <f t="shared" si="35"/>
        <v>0</v>
      </c>
      <c r="W152" s="267" t="e">
        <f t="shared" si="42"/>
        <v>#REF!</v>
      </c>
      <c r="X152" s="30"/>
    </row>
    <row r="153" spans="1:24" ht="25.5">
      <c r="A153" s="12" t="s">
        <v>31</v>
      </c>
      <c r="B153" s="318" t="s">
        <v>121</v>
      </c>
      <c r="C153" s="318"/>
      <c r="D153" s="232"/>
      <c r="E153" s="229"/>
      <c r="F153" s="141"/>
      <c r="G153" s="229"/>
      <c r="H153" s="229"/>
      <c r="I153" s="322"/>
      <c r="J153" s="214"/>
      <c r="K153" s="229"/>
      <c r="L153" s="223"/>
      <c r="M153" s="220"/>
      <c r="N153" s="214"/>
      <c r="O153" s="214"/>
      <c r="P153" s="214"/>
      <c r="Q153" s="275">
        <f aca="true" t="shared" si="48" ref="Q153:Q161">F153</f>
        <v>0</v>
      </c>
      <c r="R153" s="272">
        <f t="shared" si="36"/>
        <v>-100</v>
      </c>
      <c r="S153" s="275">
        <f>F153*1.051</f>
        <v>0</v>
      </c>
      <c r="T153" s="256">
        <f t="shared" si="37"/>
        <v>-100</v>
      </c>
      <c r="U153" s="256">
        <f t="shared" si="41"/>
        <v>-100</v>
      </c>
      <c r="V153" s="250">
        <f t="shared" si="35"/>
        <v>0</v>
      </c>
      <c r="W153" s="267" t="e">
        <f t="shared" si="42"/>
        <v>#REF!</v>
      </c>
      <c r="X153" s="30"/>
    </row>
    <row r="154" spans="1:24" ht="12.75">
      <c r="A154" s="12" t="s">
        <v>31</v>
      </c>
      <c r="B154" s="443" t="s">
        <v>122</v>
      </c>
      <c r="C154" s="443"/>
      <c r="D154" s="232"/>
      <c r="E154" s="229"/>
      <c r="F154" s="141"/>
      <c r="G154" s="229"/>
      <c r="H154" s="229"/>
      <c r="I154" s="322"/>
      <c r="J154" s="214"/>
      <c r="K154" s="229"/>
      <c r="L154" s="223"/>
      <c r="M154" s="220"/>
      <c r="N154" s="214"/>
      <c r="O154" s="214"/>
      <c r="P154" s="214"/>
      <c r="Q154" s="275">
        <f t="shared" si="48"/>
        <v>0</v>
      </c>
      <c r="R154" s="272">
        <f t="shared" si="36"/>
        <v>-100</v>
      </c>
      <c r="S154" s="275">
        <f>F154*1.051</f>
        <v>0</v>
      </c>
      <c r="T154" s="256">
        <f t="shared" si="37"/>
        <v>-100</v>
      </c>
      <c r="U154" s="256">
        <f t="shared" si="41"/>
        <v>-100</v>
      </c>
      <c r="V154" s="250">
        <f t="shared" si="35"/>
        <v>0</v>
      </c>
      <c r="W154" s="267" t="e">
        <f t="shared" si="42"/>
        <v>#REF!</v>
      </c>
      <c r="X154" s="30"/>
    </row>
    <row r="155" spans="1:24" ht="12.75">
      <c r="A155" s="12" t="s">
        <v>31</v>
      </c>
      <c r="B155" s="443" t="s">
        <v>123</v>
      </c>
      <c r="C155" s="443"/>
      <c r="D155" s="232"/>
      <c r="E155" s="229"/>
      <c r="F155" s="141"/>
      <c r="G155" s="229"/>
      <c r="H155" s="229">
        <v>8.4</v>
      </c>
      <c r="I155" s="322">
        <v>5</v>
      </c>
      <c r="J155" s="214">
        <f>I155-H155</f>
        <v>-3.4000000000000004</v>
      </c>
      <c r="K155" s="229">
        <v>8.4</v>
      </c>
      <c r="L155" s="223">
        <f>K155/(H155+1E-133)*100-100</f>
        <v>0</v>
      </c>
      <c r="M155" s="220">
        <f>I155</f>
        <v>5</v>
      </c>
      <c r="N155" s="214"/>
      <c r="O155" s="214">
        <f t="shared" si="43"/>
        <v>-3.4000000000000004</v>
      </c>
      <c r="P155" s="214">
        <f>M155/($M$163+1E-103)*100</f>
        <v>1.7482080630264245</v>
      </c>
      <c r="Q155" s="275">
        <f t="shared" si="48"/>
        <v>0</v>
      </c>
      <c r="R155" s="272">
        <f t="shared" si="36"/>
        <v>-100</v>
      </c>
      <c r="S155" s="275">
        <f>F155*1.051</f>
        <v>0</v>
      </c>
      <c r="T155" s="256">
        <f t="shared" si="37"/>
        <v>-100</v>
      </c>
      <c r="U155" s="256">
        <f t="shared" si="41"/>
        <v>-100</v>
      </c>
      <c r="V155" s="250">
        <f t="shared" si="35"/>
        <v>-8.4</v>
      </c>
      <c r="W155" s="267" t="e">
        <f t="shared" si="42"/>
        <v>#REF!</v>
      </c>
      <c r="X155" s="30"/>
    </row>
    <row r="156" spans="1:24" ht="12.75">
      <c r="A156" s="12"/>
      <c r="B156" s="444" t="s">
        <v>124</v>
      </c>
      <c r="C156" s="444"/>
      <c r="D156" s="232"/>
      <c r="E156" s="229"/>
      <c r="F156" s="141"/>
      <c r="G156" s="229"/>
      <c r="H156" s="229"/>
      <c r="I156" s="322"/>
      <c r="J156" s="214"/>
      <c r="K156" s="229"/>
      <c r="L156" s="223"/>
      <c r="M156" s="220"/>
      <c r="N156" s="214"/>
      <c r="O156" s="214"/>
      <c r="P156" s="214"/>
      <c r="Q156" s="275">
        <f t="shared" si="48"/>
        <v>0</v>
      </c>
      <c r="R156" s="272">
        <f t="shared" si="36"/>
        <v>-100</v>
      </c>
      <c r="S156" s="275">
        <f>F156*1.051</f>
        <v>0</v>
      </c>
      <c r="T156" s="256">
        <f t="shared" si="37"/>
        <v>-100</v>
      </c>
      <c r="U156" s="256">
        <f t="shared" si="41"/>
        <v>-100</v>
      </c>
      <c r="V156" s="250">
        <f t="shared" si="35"/>
        <v>0</v>
      </c>
      <c r="W156" s="267" t="e">
        <f t="shared" si="42"/>
        <v>#REF!</v>
      </c>
      <c r="X156" s="30"/>
    </row>
    <row r="157" spans="1:24" ht="12.75">
      <c r="A157" s="12" t="s">
        <v>31</v>
      </c>
      <c r="B157" s="13" t="s">
        <v>112</v>
      </c>
      <c r="C157" s="132"/>
      <c r="D157" s="232"/>
      <c r="E157" s="229"/>
      <c r="F157" s="141"/>
      <c r="G157" s="229"/>
      <c r="H157" s="229"/>
      <c r="I157" s="322"/>
      <c r="J157" s="214"/>
      <c r="K157" s="229"/>
      <c r="L157" s="223"/>
      <c r="M157" s="220"/>
      <c r="N157" s="214"/>
      <c r="O157" s="214"/>
      <c r="P157" s="214"/>
      <c r="Q157" s="275"/>
      <c r="R157" s="272"/>
      <c r="S157" s="275"/>
      <c r="T157" s="256"/>
      <c r="U157" s="256"/>
      <c r="V157" s="250"/>
      <c r="W157" s="267"/>
      <c r="X157" s="30"/>
    </row>
    <row r="158" spans="1:24" ht="25.5">
      <c r="A158" s="12" t="s">
        <v>31</v>
      </c>
      <c r="B158" s="158" t="s">
        <v>125</v>
      </c>
      <c r="C158" s="131"/>
      <c r="D158" s="141"/>
      <c r="E158" s="229"/>
      <c r="F158" s="141"/>
      <c r="G158" s="229"/>
      <c r="H158" s="229"/>
      <c r="I158" s="322"/>
      <c r="J158" s="214"/>
      <c r="K158" s="229"/>
      <c r="L158" s="223"/>
      <c r="M158" s="220"/>
      <c r="N158" s="214"/>
      <c r="O158" s="214"/>
      <c r="P158" s="214"/>
      <c r="Q158" s="275">
        <f t="shared" si="48"/>
        <v>0</v>
      </c>
      <c r="R158" s="272">
        <f aca="true" t="shared" si="49" ref="R158:R164">Q158/(F158+1E-106)*100-100</f>
        <v>-100</v>
      </c>
      <c r="S158" s="275">
        <f>F158</f>
        <v>0</v>
      </c>
      <c r="T158" s="256">
        <f aca="true" t="shared" si="50" ref="T158:T164">S158/(Q158+1E-106)*100-100</f>
        <v>-100</v>
      </c>
      <c r="U158" s="256">
        <f aca="true" t="shared" si="51" ref="U158:U164">S158/(F158+1E-106)*100-100</f>
        <v>-100</v>
      </c>
      <c r="V158" s="250">
        <f aca="true" t="shared" si="52" ref="V158:V164">S158-K158</f>
        <v>0</v>
      </c>
      <c r="W158" s="267" t="e">
        <f aca="true" t="shared" si="53" ref="W158:W163">S158/($S$163+1E-103)*100</f>
        <v>#REF!</v>
      </c>
      <c r="X158" s="30"/>
    </row>
    <row r="159" spans="1:24" ht="12.75">
      <c r="A159" s="12"/>
      <c r="B159" s="57" t="s">
        <v>126</v>
      </c>
      <c r="C159" s="131"/>
      <c r="D159" s="141"/>
      <c r="E159" s="229"/>
      <c r="F159" s="141"/>
      <c r="G159" s="229"/>
      <c r="H159" s="229"/>
      <c r="I159" s="322"/>
      <c r="J159" s="214"/>
      <c r="K159" s="229"/>
      <c r="L159" s="223"/>
      <c r="M159" s="220"/>
      <c r="N159" s="214"/>
      <c r="O159" s="214"/>
      <c r="P159" s="214"/>
      <c r="Q159" s="275">
        <f t="shared" si="48"/>
        <v>0</v>
      </c>
      <c r="R159" s="272">
        <f t="shared" si="49"/>
        <v>-100</v>
      </c>
      <c r="S159" s="275">
        <f>F159</f>
        <v>0</v>
      </c>
      <c r="T159" s="256">
        <f t="shared" si="50"/>
        <v>-100</v>
      </c>
      <c r="U159" s="256">
        <f t="shared" si="51"/>
        <v>-100</v>
      </c>
      <c r="V159" s="250">
        <f t="shared" si="52"/>
        <v>0</v>
      </c>
      <c r="W159" s="267" t="e">
        <f t="shared" si="53"/>
        <v>#REF!</v>
      </c>
      <c r="X159" s="30"/>
    </row>
    <row r="160" spans="1:24" ht="13.5">
      <c r="A160" s="12"/>
      <c r="B160" s="58" t="s">
        <v>199</v>
      </c>
      <c r="C160" s="131" t="s">
        <v>119</v>
      </c>
      <c r="D160" s="220"/>
      <c r="E160" s="224">
        <f>E163-E148</f>
        <v>0</v>
      </c>
      <c r="F160" s="220"/>
      <c r="G160" s="224">
        <f>G163-G148</f>
        <v>0</v>
      </c>
      <c r="H160" s="229"/>
      <c r="I160" s="322"/>
      <c r="J160" s="214"/>
      <c r="K160" s="229"/>
      <c r="L160" s="227"/>
      <c r="M160" s="220"/>
      <c r="N160" s="214"/>
      <c r="O160" s="214"/>
      <c r="P160" s="214"/>
      <c r="Q160" s="275"/>
      <c r="R160" s="272">
        <f t="shared" si="49"/>
        <v>-100</v>
      </c>
      <c r="S160" s="275"/>
      <c r="T160" s="256">
        <f t="shared" si="50"/>
        <v>-100</v>
      </c>
      <c r="U160" s="256">
        <f t="shared" si="51"/>
        <v>-100</v>
      </c>
      <c r="V160" s="250">
        <f t="shared" si="52"/>
        <v>0</v>
      </c>
      <c r="W160" s="267" t="e">
        <f t="shared" si="53"/>
        <v>#REF!</v>
      </c>
      <c r="X160" s="30"/>
    </row>
    <row r="161" spans="1:24" ht="15.75">
      <c r="A161" s="3">
        <v>26</v>
      </c>
      <c r="B161" s="13" t="s">
        <v>127</v>
      </c>
      <c r="C161" s="131" t="s">
        <v>119</v>
      </c>
      <c r="D161" s="141"/>
      <c r="E161" s="229"/>
      <c r="F161" s="141"/>
      <c r="G161" s="229"/>
      <c r="H161" s="229"/>
      <c r="I161" s="322"/>
      <c r="J161" s="214"/>
      <c r="K161" s="229"/>
      <c r="L161" s="223"/>
      <c r="M161" s="220"/>
      <c r="N161" s="214"/>
      <c r="O161" s="214"/>
      <c r="P161" s="214"/>
      <c r="Q161" s="275">
        <f t="shared" si="48"/>
        <v>0</v>
      </c>
      <c r="R161" s="272">
        <f t="shared" si="49"/>
        <v>-100</v>
      </c>
      <c r="S161" s="275">
        <f>F161*1.051</f>
        <v>0</v>
      </c>
      <c r="T161" s="256">
        <f t="shared" si="50"/>
        <v>-100</v>
      </c>
      <c r="U161" s="256">
        <f t="shared" si="51"/>
        <v>-100</v>
      </c>
      <c r="V161" s="250">
        <f t="shared" si="52"/>
        <v>0</v>
      </c>
      <c r="W161" s="267" t="e">
        <f t="shared" si="53"/>
        <v>#REF!</v>
      </c>
      <c r="X161" s="59"/>
    </row>
    <row r="162" spans="1:24" ht="25.5">
      <c r="A162" s="3">
        <v>27</v>
      </c>
      <c r="B162" s="13" t="s">
        <v>128</v>
      </c>
      <c r="C162" s="131" t="s">
        <v>119</v>
      </c>
      <c r="D162" s="141"/>
      <c r="E162" s="229"/>
      <c r="F162" s="141"/>
      <c r="G162" s="229"/>
      <c r="H162" s="229"/>
      <c r="I162" s="322"/>
      <c r="J162" s="214"/>
      <c r="K162" s="229"/>
      <c r="L162" s="227"/>
      <c r="M162" s="220"/>
      <c r="N162" s="214"/>
      <c r="O162" s="214"/>
      <c r="P162" s="214"/>
      <c r="Q162" s="275"/>
      <c r="R162" s="272">
        <f t="shared" si="49"/>
        <v>-100</v>
      </c>
      <c r="S162" s="275"/>
      <c r="T162" s="256">
        <f t="shared" si="50"/>
        <v>-100</v>
      </c>
      <c r="U162" s="256">
        <f t="shared" si="51"/>
        <v>-100</v>
      </c>
      <c r="V162" s="250">
        <f t="shared" si="52"/>
        <v>0</v>
      </c>
      <c r="W162" s="267" t="e">
        <f t="shared" si="53"/>
        <v>#REF!</v>
      </c>
      <c r="X162" s="60"/>
    </row>
    <row r="163" spans="1:24" ht="24.75" customHeight="1">
      <c r="A163" s="202">
        <v>28</v>
      </c>
      <c r="B163" s="203" t="s">
        <v>129</v>
      </c>
      <c r="C163" s="385" t="s">
        <v>119</v>
      </c>
      <c r="D163" s="209">
        <f>D148+D151+D161+D162</f>
        <v>0</v>
      </c>
      <c r="E163" s="209">
        <f>E185</f>
        <v>0</v>
      </c>
      <c r="F163" s="209">
        <f>F148+F151+F161+F162</f>
        <v>0</v>
      </c>
      <c r="G163" s="209">
        <f>G185</f>
        <v>0</v>
      </c>
      <c r="H163" s="209">
        <f>H148+H151+H161+H162</f>
        <v>410.7862326602321</v>
      </c>
      <c r="I163" s="209">
        <f>I148+I151+I161+I162</f>
        <v>260.0922252003802</v>
      </c>
      <c r="J163" s="345">
        <f>I163-H163</f>
        <v>-150.6940074598519</v>
      </c>
      <c r="K163" s="209">
        <f>K148+K151+K161+K162</f>
        <v>452.1776096274004</v>
      </c>
      <c r="L163" s="209">
        <f>K163/(H163+1E-133)*100-100</f>
        <v>10.076135390205195</v>
      </c>
      <c r="M163" s="209">
        <f>M148+M151+M161+M162</f>
        <v>286.00714673196336</v>
      </c>
      <c r="N163" s="345">
        <f>M163/I163*100-100</f>
        <v>9.963743249771426</v>
      </c>
      <c r="O163" s="345">
        <f t="shared" si="43"/>
        <v>-166.17046289543703</v>
      </c>
      <c r="P163" s="345">
        <f>P148+P151+P161+P162</f>
        <v>100</v>
      </c>
      <c r="Q163" s="61" t="e">
        <f>Q148+Q151+Q161+Q162</f>
        <v>#REF!</v>
      </c>
      <c r="R163" s="41" t="e">
        <f t="shared" si="49"/>
        <v>#REF!</v>
      </c>
      <c r="S163" s="61" t="e">
        <f>S148+S151+S161+S162</f>
        <v>#REF!</v>
      </c>
      <c r="T163" s="25" t="e">
        <f t="shared" si="50"/>
        <v>#REF!</v>
      </c>
      <c r="U163" s="25" t="e">
        <f t="shared" si="51"/>
        <v>#REF!</v>
      </c>
      <c r="V163" s="25" t="e">
        <f t="shared" si="52"/>
        <v>#REF!</v>
      </c>
      <c r="W163" s="205" t="e">
        <f t="shared" si="53"/>
        <v>#REF!</v>
      </c>
      <c r="X163" s="212"/>
    </row>
    <row r="164" spans="1:26" ht="22.5" customHeight="1">
      <c r="A164" s="202">
        <v>29</v>
      </c>
      <c r="B164" s="203" t="s">
        <v>130</v>
      </c>
      <c r="C164" s="385" t="s">
        <v>116</v>
      </c>
      <c r="D164" s="209">
        <f aca="true" t="shared" si="54" ref="D164:K164">D163/(D23+1E-99)*1000</f>
        <v>0</v>
      </c>
      <c r="E164" s="209">
        <f t="shared" si="54"/>
        <v>0</v>
      </c>
      <c r="F164" s="209">
        <f t="shared" si="54"/>
        <v>0</v>
      </c>
      <c r="G164" s="209">
        <f t="shared" si="54"/>
        <v>0</v>
      </c>
      <c r="H164" s="209">
        <f t="shared" si="54"/>
        <v>2267.032189074129</v>
      </c>
      <c r="I164" s="209">
        <f t="shared" si="54"/>
        <v>1435.387556293489</v>
      </c>
      <c r="J164" s="345">
        <f>I164-H164</f>
        <v>-831.6446327806398</v>
      </c>
      <c r="K164" s="209">
        <f t="shared" si="54"/>
        <v>2495.46142178477</v>
      </c>
      <c r="L164" s="209">
        <f>K164/(H164+1E-133)*100-100</f>
        <v>10.076135390205181</v>
      </c>
      <c r="M164" s="209">
        <f>M163/(M23+1E-99)*1000</f>
        <v>1578.4058870417405</v>
      </c>
      <c r="N164" s="345">
        <f>M164/I164*100-100</f>
        <v>9.963743249771412</v>
      </c>
      <c r="O164" s="345">
        <f t="shared" si="43"/>
        <v>-917.0555347430297</v>
      </c>
      <c r="P164" s="345"/>
      <c r="Q164" s="5" t="e">
        <f>Q163/(R23+1E-99)*1000</f>
        <v>#REF!</v>
      </c>
      <c r="R164" s="44" t="e">
        <f t="shared" si="49"/>
        <v>#REF!</v>
      </c>
      <c r="S164" s="5" t="e">
        <f>S163/(T23+1E-99)*1000</f>
        <v>#REF!</v>
      </c>
      <c r="T164" s="206" t="e">
        <f t="shared" si="50"/>
        <v>#REF!</v>
      </c>
      <c r="U164" s="206" t="e">
        <f t="shared" si="51"/>
        <v>#REF!</v>
      </c>
      <c r="V164" s="44" t="e">
        <f t="shared" si="52"/>
        <v>#REF!</v>
      </c>
      <c r="W164" s="41"/>
      <c r="X164" s="213"/>
      <c r="Z164">
        <v>1069.92</v>
      </c>
    </row>
    <row r="165" spans="1:33" ht="12" customHeight="1">
      <c r="A165" s="12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34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 spans="1:33" ht="34.5" customHeight="1" hidden="1">
      <c r="A166" s="445"/>
      <c r="B166" s="445"/>
      <c r="C166" s="188"/>
      <c r="D166" s="189"/>
      <c r="E166" s="190"/>
      <c r="F166" s="191"/>
      <c r="G166" s="192"/>
      <c r="H166" s="192"/>
      <c r="I166" s="192"/>
      <c r="J166" s="190"/>
      <c r="K166" s="193"/>
      <c r="L166" s="194"/>
      <c r="M166" s="195"/>
      <c r="N166" s="339"/>
      <c r="O166" s="194"/>
      <c r="P166" s="194"/>
      <c r="Q166" s="196"/>
      <c r="R166" s="196"/>
      <c r="S166" s="196"/>
      <c r="T166" s="197"/>
      <c r="U166" s="196"/>
      <c r="V166" s="196"/>
      <c r="W166" s="196"/>
      <c r="X166" s="187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 spans="1:33" s="313" customFormat="1" ht="21.75" customHeight="1">
      <c r="A167" s="446" t="s">
        <v>207</v>
      </c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312"/>
      <c r="Z167" s="312"/>
      <c r="AA167" s="312"/>
      <c r="AB167" s="312"/>
      <c r="AC167" s="312"/>
      <c r="AD167" s="312"/>
      <c r="AE167" s="312"/>
      <c r="AF167" s="312"/>
      <c r="AG167" s="312"/>
    </row>
    <row r="168" spans="1:33" s="150" customFormat="1" ht="15.75" customHeight="1">
      <c r="A168" s="447" t="s">
        <v>0</v>
      </c>
      <c r="B168" s="448" t="s">
        <v>131</v>
      </c>
      <c r="C168" s="425"/>
      <c r="D168" s="386"/>
      <c r="E168" s="386"/>
      <c r="F168" s="386"/>
      <c r="G168" s="386"/>
      <c r="H168" s="428" t="s">
        <v>228</v>
      </c>
      <c r="I168" s="422" t="s">
        <v>185</v>
      </c>
      <c r="J168" s="422"/>
      <c r="K168" s="422"/>
      <c r="L168" s="425"/>
      <c r="M168" s="422" t="s">
        <v>191</v>
      </c>
      <c r="N168" s="422"/>
      <c r="O168" s="422"/>
      <c r="P168" s="423" t="s">
        <v>175</v>
      </c>
      <c r="Q168" s="423"/>
      <c r="R168" s="423"/>
      <c r="S168" s="423"/>
      <c r="T168" s="423"/>
      <c r="U168" s="423"/>
      <c r="V168" s="423"/>
      <c r="W168" s="423"/>
      <c r="X168" s="424"/>
      <c r="Y168" s="149"/>
      <c r="Z168" s="149"/>
      <c r="AA168" s="149"/>
      <c r="AB168" s="149"/>
      <c r="AC168" s="149"/>
      <c r="AD168" s="149"/>
      <c r="AE168" s="149"/>
      <c r="AF168" s="149"/>
      <c r="AG168" s="149"/>
    </row>
    <row r="169" spans="1:33" ht="22.5" customHeight="1">
      <c r="A169" s="447"/>
      <c r="B169" s="449"/>
      <c r="C169" s="426"/>
      <c r="D169" s="386"/>
      <c r="E169" s="386"/>
      <c r="F169" s="386"/>
      <c r="G169" s="386"/>
      <c r="H169" s="429"/>
      <c r="I169" s="413" t="s">
        <v>233</v>
      </c>
      <c r="J169" s="508"/>
      <c r="K169" s="414"/>
      <c r="L169" s="426"/>
      <c r="M169" s="415" t="s">
        <v>222</v>
      </c>
      <c r="N169" s="423"/>
      <c r="O169" s="424"/>
      <c r="P169" s="409"/>
      <c r="Q169" s="409"/>
      <c r="R169" s="409"/>
      <c r="S169" s="409"/>
      <c r="T169" s="409"/>
      <c r="U169" s="409"/>
      <c r="V169" s="409"/>
      <c r="W169" s="409"/>
      <c r="X169" s="410"/>
      <c r="Y169" s="63"/>
      <c r="Z169" s="63"/>
      <c r="AA169" s="64"/>
      <c r="AB169" s="49"/>
      <c r="AC169" s="49"/>
      <c r="AD169" s="49"/>
      <c r="AE169" s="49"/>
      <c r="AF169" s="49"/>
      <c r="AG169" s="49"/>
    </row>
    <row r="170" spans="1:33" ht="48" customHeight="1">
      <c r="A170" s="447"/>
      <c r="B170" s="450"/>
      <c r="C170" s="427"/>
      <c r="D170" s="386"/>
      <c r="E170" s="386"/>
      <c r="F170" s="386"/>
      <c r="G170" s="386"/>
      <c r="H170" s="430"/>
      <c r="I170" s="317" t="s">
        <v>221</v>
      </c>
      <c r="J170" s="404"/>
      <c r="K170" s="387" t="s">
        <v>223</v>
      </c>
      <c r="L170" s="427"/>
      <c r="M170" s="317" t="s">
        <v>221</v>
      </c>
      <c r="N170" s="416" t="s">
        <v>223</v>
      </c>
      <c r="O170" s="416"/>
      <c r="P170" s="411"/>
      <c r="Q170" s="411"/>
      <c r="R170" s="411"/>
      <c r="S170" s="411"/>
      <c r="T170" s="411"/>
      <c r="U170" s="411"/>
      <c r="V170" s="411"/>
      <c r="W170" s="411"/>
      <c r="X170" s="412"/>
      <c r="Y170" s="63"/>
      <c r="Z170" s="63"/>
      <c r="AA170" s="64"/>
      <c r="AB170" s="49"/>
      <c r="AC170" s="49"/>
      <c r="AD170" s="49"/>
      <c r="AE170" s="49"/>
      <c r="AF170" s="49"/>
      <c r="AG170" s="49"/>
    </row>
    <row r="171" spans="1:33" s="152" customFormat="1" ht="11.25" customHeight="1">
      <c r="A171" s="289">
        <v>1</v>
      </c>
      <c r="B171" s="290">
        <v>2</v>
      </c>
      <c r="C171" s="283">
        <v>3</v>
      </c>
      <c r="D171" s="283"/>
      <c r="E171" s="283"/>
      <c r="F171" s="283"/>
      <c r="G171" s="283"/>
      <c r="H171" s="397">
        <v>4</v>
      </c>
      <c r="I171" s="290">
        <v>5</v>
      </c>
      <c r="J171" s="405"/>
      <c r="K171" s="291">
        <v>6</v>
      </c>
      <c r="L171" s="388">
        <v>7</v>
      </c>
      <c r="M171" s="290">
        <v>8</v>
      </c>
      <c r="N171" s="417">
        <v>9</v>
      </c>
      <c r="O171" s="418"/>
      <c r="P171" s="419"/>
      <c r="Q171" s="420"/>
      <c r="R171" s="420"/>
      <c r="S171" s="420"/>
      <c r="T171" s="420"/>
      <c r="U171" s="420"/>
      <c r="V171" s="420"/>
      <c r="W171" s="420"/>
      <c r="X171" s="421"/>
      <c r="Y171" s="151"/>
      <c r="Z171" s="151"/>
      <c r="AA171" s="151"/>
      <c r="AB171" s="151"/>
      <c r="AC171" s="151"/>
      <c r="AD171" s="151"/>
      <c r="AE171" s="151"/>
      <c r="AF171" s="151"/>
      <c r="AG171" s="151"/>
    </row>
    <row r="172" spans="1:24" s="33" customFormat="1" ht="12.75" customHeight="1">
      <c r="A172" s="65">
        <v>1</v>
      </c>
      <c r="B172" s="66" t="s">
        <v>138</v>
      </c>
      <c r="C172" s="386"/>
      <c r="D172" s="386"/>
      <c r="E172" s="386"/>
      <c r="F172" s="386"/>
      <c r="G172" s="386"/>
      <c r="H172" s="398"/>
      <c r="I172" s="237"/>
      <c r="J172" s="75"/>
      <c r="K172" s="53"/>
      <c r="L172" s="386"/>
      <c r="M172" s="75"/>
      <c r="N172" s="417"/>
      <c r="O172" s="418"/>
      <c r="P172" s="419"/>
      <c r="Q172" s="420"/>
      <c r="R172" s="420"/>
      <c r="S172" s="420"/>
      <c r="T172" s="420"/>
      <c r="U172" s="420"/>
      <c r="V172" s="420"/>
      <c r="W172" s="420"/>
      <c r="X172" s="421"/>
    </row>
    <row r="173" spans="1:24" ht="12.75">
      <c r="A173" s="68"/>
      <c r="B173" s="69" t="s">
        <v>139</v>
      </c>
      <c r="C173" s="386"/>
      <c r="D173" s="386"/>
      <c r="E173" s="386"/>
      <c r="F173" s="386"/>
      <c r="G173" s="386"/>
      <c r="H173" s="398"/>
      <c r="I173" s="39"/>
      <c r="J173" s="70"/>
      <c r="K173" s="139"/>
      <c r="L173" s="386"/>
      <c r="M173" s="242"/>
      <c r="N173" s="417"/>
      <c r="O173" s="418"/>
      <c r="P173" s="419"/>
      <c r="Q173" s="420"/>
      <c r="R173" s="420"/>
      <c r="S173" s="420"/>
      <c r="T173" s="420"/>
      <c r="U173" s="420"/>
      <c r="V173" s="420"/>
      <c r="W173" s="420"/>
      <c r="X173" s="421"/>
    </row>
    <row r="174" spans="1:24" ht="12.75">
      <c r="A174" s="68"/>
      <c r="B174" s="69" t="s">
        <v>140</v>
      </c>
      <c r="C174" s="386"/>
      <c r="D174" s="386"/>
      <c r="E174" s="386"/>
      <c r="F174" s="386"/>
      <c r="G174" s="386"/>
      <c r="H174" s="398"/>
      <c r="I174" s="39"/>
      <c r="J174" s="70"/>
      <c r="K174" s="139"/>
      <c r="L174" s="386"/>
      <c r="M174" s="242"/>
      <c r="N174" s="417"/>
      <c r="O174" s="418"/>
      <c r="P174" s="419"/>
      <c r="Q174" s="420"/>
      <c r="R174" s="420"/>
      <c r="S174" s="420"/>
      <c r="T174" s="420"/>
      <c r="U174" s="420"/>
      <c r="V174" s="420"/>
      <c r="W174" s="420"/>
      <c r="X174" s="421"/>
    </row>
    <row r="175" spans="1:24" ht="12.75">
      <c r="A175" s="68"/>
      <c r="B175" s="71" t="s">
        <v>141</v>
      </c>
      <c r="C175" s="386"/>
      <c r="D175" s="386"/>
      <c r="E175" s="386"/>
      <c r="F175" s="386"/>
      <c r="G175" s="386"/>
      <c r="H175" s="398"/>
      <c r="I175" s="39"/>
      <c r="J175" s="70"/>
      <c r="K175" s="139"/>
      <c r="L175" s="386"/>
      <c r="M175" s="242"/>
      <c r="N175" s="417"/>
      <c r="O175" s="418"/>
      <c r="P175" s="419"/>
      <c r="Q175" s="420"/>
      <c r="R175" s="420"/>
      <c r="S175" s="420"/>
      <c r="T175" s="420"/>
      <c r="U175" s="420"/>
      <c r="V175" s="420"/>
      <c r="W175" s="420"/>
      <c r="X175" s="421"/>
    </row>
    <row r="176" spans="1:24" s="33" customFormat="1" ht="12.75">
      <c r="A176" s="65">
        <v>2</v>
      </c>
      <c r="B176" s="244" t="s">
        <v>149</v>
      </c>
      <c r="C176" s="386"/>
      <c r="D176" s="386"/>
      <c r="E176" s="386"/>
      <c r="F176" s="386"/>
      <c r="G176" s="386"/>
      <c r="H176" s="398"/>
      <c r="I176" s="75"/>
      <c r="J176" s="75"/>
      <c r="K176" s="53"/>
      <c r="L176" s="386"/>
      <c r="M176" s="75"/>
      <c r="N176" s="417"/>
      <c r="O176" s="418"/>
      <c r="P176" s="419"/>
      <c r="Q176" s="420"/>
      <c r="R176" s="420"/>
      <c r="S176" s="420"/>
      <c r="T176" s="420"/>
      <c r="U176" s="420"/>
      <c r="V176" s="420"/>
      <c r="W176" s="420"/>
      <c r="X176" s="421"/>
    </row>
    <row r="177" spans="1:24" ht="12.75">
      <c r="A177" s="68" t="s">
        <v>142</v>
      </c>
      <c r="B177" s="246" t="s">
        <v>143</v>
      </c>
      <c r="C177" s="386"/>
      <c r="D177" s="386"/>
      <c r="E177" s="386"/>
      <c r="F177" s="386"/>
      <c r="G177" s="386"/>
      <c r="H177" s="399">
        <f>1119.97</f>
        <v>1119.97</v>
      </c>
      <c r="I177" s="75">
        <f>181.2</f>
        <v>181.2</v>
      </c>
      <c r="J177" s="75"/>
      <c r="K177" s="53">
        <f>H177</f>
        <v>1119.97</v>
      </c>
      <c r="L177" s="386"/>
      <c r="M177" s="75">
        <f>M178+M179</f>
        <v>181.2</v>
      </c>
      <c r="N177" s="451">
        <f>M164</f>
        <v>1578.4058870417405</v>
      </c>
      <c r="O177" s="452"/>
      <c r="P177" s="453">
        <f>N177*M177/1000</f>
        <v>286.00714673196336</v>
      </c>
      <c r="Q177" s="454"/>
      <c r="R177" s="454"/>
      <c r="S177" s="454"/>
      <c r="T177" s="454"/>
      <c r="U177" s="454"/>
      <c r="V177" s="454"/>
      <c r="W177" s="454"/>
      <c r="X177" s="455"/>
    </row>
    <row r="178" spans="1:24" ht="15.75" customHeight="1">
      <c r="A178" s="68"/>
      <c r="B178" s="246" t="s">
        <v>177</v>
      </c>
      <c r="C178" s="386"/>
      <c r="D178" s="386"/>
      <c r="E178" s="386"/>
      <c r="F178" s="386"/>
      <c r="G178" s="386"/>
      <c r="H178" s="397">
        <f>H177</f>
        <v>1119.97</v>
      </c>
      <c r="I178" s="43">
        <f>I177</f>
        <v>181.2</v>
      </c>
      <c r="J178" s="67"/>
      <c r="K178" s="53">
        <f>K177</f>
        <v>1119.97</v>
      </c>
      <c r="L178" s="386"/>
      <c r="M178" s="6">
        <v>181.2</v>
      </c>
      <c r="N178" s="456">
        <f>N177</f>
        <v>1578.4058870417405</v>
      </c>
      <c r="O178" s="457"/>
      <c r="P178" s="453">
        <f>N178*M178/1000</f>
        <v>286.00714673196336</v>
      </c>
      <c r="Q178" s="454"/>
      <c r="R178" s="454"/>
      <c r="S178" s="454"/>
      <c r="T178" s="454"/>
      <c r="U178" s="454"/>
      <c r="V178" s="454"/>
      <c r="W178" s="454"/>
      <c r="X178" s="455"/>
    </row>
    <row r="179" spans="1:24" ht="12.75">
      <c r="A179" s="68"/>
      <c r="B179" s="246" t="s">
        <v>145</v>
      </c>
      <c r="C179" s="386"/>
      <c r="D179" s="386"/>
      <c r="E179" s="386"/>
      <c r="F179" s="386"/>
      <c r="G179" s="386"/>
      <c r="H179" s="398"/>
      <c r="I179" s="43"/>
      <c r="J179" s="67"/>
      <c r="K179" s="53"/>
      <c r="L179" s="386"/>
      <c r="M179" s="389"/>
      <c r="N179" s="456"/>
      <c r="O179" s="457"/>
      <c r="P179" s="458"/>
      <c r="Q179" s="459"/>
      <c r="R179" s="459"/>
      <c r="S179" s="459"/>
      <c r="T179" s="459"/>
      <c r="U179" s="459"/>
      <c r="V179" s="459"/>
      <c r="W179" s="459"/>
      <c r="X179" s="460"/>
    </row>
    <row r="180" spans="1:24" ht="15" customHeight="1">
      <c r="A180" s="72" t="s">
        <v>146</v>
      </c>
      <c r="B180" s="246" t="s">
        <v>176</v>
      </c>
      <c r="C180" s="386"/>
      <c r="D180" s="386"/>
      <c r="E180" s="386"/>
      <c r="F180" s="386"/>
      <c r="G180" s="386"/>
      <c r="H180" s="398"/>
      <c r="I180" s="39"/>
      <c r="J180" s="70"/>
      <c r="K180" s="139"/>
      <c r="L180" s="386"/>
      <c r="M180" s="242"/>
      <c r="N180" s="456"/>
      <c r="O180" s="457"/>
      <c r="P180" s="458"/>
      <c r="Q180" s="459"/>
      <c r="R180" s="459"/>
      <c r="S180" s="459"/>
      <c r="T180" s="459"/>
      <c r="U180" s="459"/>
      <c r="V180" s="459"/>
      <c r="W180" s="459"/>
      <c r="X180" s="460"/>
    </row>
    <row r="181" spans="1:24" ht="15" customHeight="1">
      <c r="A181" s="73" t="s">
        <v>148</v>
      </c>
      <c r="B181" s="246" t="s">
        <v>149</v>
      </c>
      <c r="C181" s="386"/>
      <c r="D181" s="386"/>
      <c r="E181" s="386"/>
      <c r="F181" s="386"/>
      <c r="G181" s="386"/>
      <c r="H181" s="398"/>
      <c r="I181" s="39"/>
      <c r="J181" s="70"/>
      <c r="K181" s="139"/>
      <c r="L181" s="386"/>
      <c r="M181" s="243"/>
      <c r="N181" s="456"/>
      <c r="O181" s="457"/>
      <c r="P181" s="458"/>
      <c r="Q181" s="459"/>
      <c r="R181" s="459"/>
      <c r="S181" s="459"/>
      <c r="T181" s="459"/>
      <c r="U181" s="459"/>
      <c r="V181" s="459"/>
      <c r="W181" s="459"/>
      <c r="X181" s="460"/>
    </row>
    <row r="182" spans="1:24" s="33" customFormat="1" ht="15" customHeight="1">
      <c r="A182" s="74">
        <v>3</v>
      </c>
      <c r="B182" s="244" t="s">
        <v>150</v>
      </c>
      <c r="C182" s="386"/>
      <c r="D182" s="386"/>
      <c r="E182" s="386"/>
      <c r="F182" s="386"/>
      <c r="G182" s="386"/>
      <c r="H182" s="398"/>
      <c r="I182" s="67"/>
      <c r="J182" s="67"/>
      <c r="K182" s="53"/>
      <c r="L182" s="386"/>
      <c r="M182" s="242"/>
      <c r="N182" s="456"/>
      <c r="O182" s="457"/>
      <c r="P182" s="458"/>
      <c r="Q182" s="459"/>
      <c r="R182" s="459"/>
      <c r="S182" s="459"/>
      <c r="T182" s="459"/>
      <c r="U182" s="459"/>
      <c r="V182" s="459"/>
      <c r="W182" s="459"/>
      <c r="X182" s="460"/>
    </row>
    <row r="183" spans="1:24" s="21" customFormat="1" ht="15.75" customHeight="1">
      <c r="A183" s="12"/>
      <c r="B183" s="247" t="s">
        <v>151</v>
      </c>
      <c r="C183" s="386"/>
      <c r="D183" s="386"/>
      <c r="E183" s="386"/>
      <c r="F183" s="386"/>
      <c r="G183" s="386"/>
      <c r="H183" s="398"/>
      <c r="I183" s="77">
        <f>I177</f>
        <v>181.2</v>
      </c>
      <c r="J183" s="406"/>
      <c r="K183" s="112">
        <f>K178</f>
        <v>1119.97</v>
      </c>
      <c r="L183" s="386"/>
      <c r="M183" s="77">
        <f>M172+M176+M182</f>
        <v>0</v>
      </c>
      <c r="N183" s="456">
        <f>N178</f>
        <v>1578.4058870417405</v>
      </c>
      <c r="O183" s="457"/>
      <c r="P183" s="458">
        <f>P177</f>
        <v>286.00714673196336</v>
      </c>
      <c r="Q183" s="459"/>
      <c r="R183" s="459"/>
      <c r="S183" s="459"/>
      <c r="T183" s="459"/>
      <c r="U183" s="459"/>
      <c r="V183" s="459"/>
      <c r="W183" s="459"/>
      <c r="X183" s="460"/>
    </row>
    <row r="184" spans="1:24" s="21" customFormat="1" ht="21" customHeight="1">
      <c r="A184" s="233"/>
      <c r="B184" s="461" t="s">
        <v>204</v>
      </c>
      <c r="C184" s="462"/>
      <c r="D184" s="463"/>
      <c r="E184" s="234">
        <f>(E172*C172+E177*C177+E180*C180+E181*C181+E182*C182)/1000</f>
        <v>0</v>
      </c>
      <c r="F184" s="164" t="s">
        <v>65</v>
      </c>
      <c r="G184" s="234"/>
      <c r="H184" s="400" t="s">
        <v>65</v>
      </c>
      <c r="I184" s="164" t="s">
        <v>65</v>
      </c>
      <c r="J184" s="407"/>
      <c r="K184" s="112">
        <f>K178*I178/1000</f>
        <v>202.93856399999999</v>
      </c>
      <c r="L184" s="112"/>
      <c r="M184" s="164"/>
      <c r="N184" s="464"/>
      <c r="O184" s="465"/>
      <c r="P184" s="466" t="s">
        <v>65</v>
      </c>
      <c r="Q184" s="467"/>
      <c r="R184" s="467"/>
      <c r="S184" s="467"/>
      <c r="T184" s="467"/>
      <c r="U184" s="467"/>
      <c r="V184" s="467"/>
      <c r="W184" s="467"/>
      <c r="X184" s="468"/>
    </row>
    <row r="185" spans="1:24" s="21" customFormat="1" ht="15.75" customHeight="1">
      <c r="A185" s="233"/>
      <c r="B185" s="461" t="s">
        <v>205</v>
      </c>
      <c r="C185" s="462"/>
      <c r="D185" s="463"/>
      <c r="E185" s="234">
        <f>(E172*D172+E177*D177+E180*D180+E181*D181+E182*D182)/1000</f>
        <v>0</v>
      </c>
      <c r="F185" s="164" t="s">
        <v>65</v>
      </c>
      <c r="G185" s="234">
        <f>(K172*G172+K177*G177+K180*G180+K181*G181+K182*G182)/1000</f>
        <v>0</v>
      </c>
      <c r="H185" s="164" t="s">
        <v>65</v>
      </c>
      <c r="I185" s="164" t="s">
        <v>65</v>
      </c>
      <c r="J185" s="407"/>
      <c r="K185" s="164"/>
      <c r="L185" s="164"/>
      <c r="M185" s="164"/>
      <c r="N185" s="464"/>
      <c r="O185" s="465"/>
      <c r="P185" s="466" t="s">
        <v>65</v>
      </c>
      <c r="Q185" s="467"/>
      <c r="R185" s="467"/>
      <c r="S185" s="467"/>
      <c r="T185" s="467"/>
      <c r="U185" s="467"/>
      <c r="V185" s="467"/>
      <c r="W185" s="467"/>
      <c r="X185" s="468"/>
    </row>
    <row r="186" spans="1:24" ht="27" customHeight="1">
      <c r="A186" s="159"/>
      <c r="B186" s="461" t="s">
        <v>200</v>
      </c>
      <c r="C186" s="462"/>
      <c r="D186" s="463"/>
      <c r="E186" s="216">
        <f>D163-E184</f>
        <v>0</v>
      </c>
      <c r="F186" s="164" t="s">
        <v>65</v>
      </c>
      <c r="G186" s="164" t="s">
        <v>65</v>
      </c>
      <c r="H186" s="164" t="s">
        <v>65</v>
      </c>
      <c r="I186" s="164" t="s">
        <v>65</v>
      </c>
      <c r="J186" s="407"/>
      <c r="K186" s="216">
        <f>I163-K184</f>
        <v>57.15366120038021</v>
      </c>
      <c r="L186" s="216"/>
      <c r="M186" s="164"/>
      <c r="N186" s="464"/>
      <c r="O186" s="465"/>
      <c r="P186" s="466" t="s">
        <v>65</v>
      </c>
      <c r="Q186" s="467"/>
      <c r="R186" s="467"/>
      <c r="S186" s="467"/>
      <c r="T186" s="467"/>
      <c r="U186" s="467"/>
      <c r="V186" s="467"/>
      <c r="W186" s="467"/>
      <c r="X186" s="468"/>
    </row>
    <row r="187" spans="1:24" ht="16.5" customHeight="1">
      <c r="A187" s="160"/>
      <c r="B187" s="161"/>
      <c r="C187" s="161"/>
      <c r="D187" s="161"/>
      <c r="E187" s="161"/>
      <c r="F187" s="161"/>
      <c r="G187" s="161"/>
      <c r="H187" s="161"/>
      <c r="I187" s="161"/>
      <c r="J187" s="340"/>
      <c r="K187" s="161"/>
      <c r="L187" s="161"/>
      <c r="M187" s="161"/>
      <c r="N187" s="340"/>
      <c r="O187" s="161"/>
      <c r="P187" s="161"/>
      <c r="Q187" s="160"/>
      <c r="R187" s="160"/>
      <c r="S187" s="160"/>
      <c r="T187" s="160"/>
      <c r="U187" s="160"/>
      <c r="V187" s="160"/>
      <c r="W187" s="160"/>
      <c r="X187" s="162"/>
    </row>
    <row r="188" spans="1:24" ht="81.75" customHeight="1">
      <c r="A188" s="469" t="s">
        <v>152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469"/>
      <c r="L188" s="79"/>
      <c r="M188" s="80"/>
      <c r="N188" s="80"/>
      <c r="O188" s="470" t="s">
        <v>153</v>
      </c>
      <c r="P188" s="470"/>
      <c r="Q188" s="470"/>
      <c r="R188" s="470"/>
      <c r="S188" s="470"/>
      <c r="T188" s="470"/>
      <c r="U188" s="470"/>
      <c r="V188" s="470"/>
      <c r="W188" s="470"/>
      <c r="X188" s="470"/>
    </row>
    <row r="189" spans="1:24" s="49" customFormat="1" ht="5.25" customHeight="1" hidden="1">
      <c r="A189" s="121"/>
      <c r="B189" s="122"/>
      <c r="C189" s="133"/>
      <c r="D189" s="82"/>
      <c r="E189" s="90"/>
      <c r="F189" s="123"/>
      <c r="G189" s="123"/>
      <c r="H189" s="80"/>
      <c r="I189" s="80"/>
      <c r="J189" s="80"/>
      <c r="K189" s="80"/>
      <c r="L189" s="80"/>
      <c r="M189" s="80"/>
      <c r="N189" s="80"/>
      <c r="O189" s="89"/>
      <c r="P189" s="89"/>
      <c r="Q189" s="124"/>
      <c r="R189" s="124"/>
      <c r="S189" s="124"/>
      <c r="T189" s="125"/>
      <c r="U189" s="124"/>
      <c r="V189" s="124"/>
      <c r="W189" s="124"/>
      <c r="X189" s="89"/>
    </row>
    <row r="190" spans="1:24" ht="6.75" customHeight="1" hidden="1">
      <c r="A190" s="85"/>
      <c r="B190" s="85"/>
      <c r="C190" s="133"/>
      <c r="D190" s="82"/>
      <c r="E190" s="90"/>
      <c r="F190" s="80"/>
      <c r="G190" s="80"/>
      <c r="H190" s="86"/>
      <c r="I190" s="86"/>
      <c r="J190" s="86"/>
      <c r="K190" s="87"/>
      <c r="L190" s="87"/>
      <c r="M190" s="80"/>
      <c r="N190" s="80"/>
      <c r="O190" s="88"/>
      <c r="P190" s="88"/>
      <c r="Q190" s="83"/>
      <c r="R190" s="83"/>
      <c r="S190" s="83"/>
      <c r="T190" s="84"/>
      <c r="U190" s="83"/>
      <c r="V190" s="83"/>
      <c r="W190" s="83"/>
      <c r="X190" s="88"/>
    </row>
    <row r="191" spans="1:24" ht="30.75" customHeight="1">
      <c r="A191" s="469" t="s">
        <v>154</v>
      </c>
      <c r="B191" s="469"/>
      <c r="C191" s="469"/>
      <c r="D191" s="469"/>
      <c r="E191" s="469"/>
      <c r="F191" s="80"/>
      <c r="G191" s="80"/>
      <c r="H191" s="471"/>
      <c r="I191" s="471"/>
      <c r="J191" s="471"/>
      <c r="K191" s="471"/>
      <c r="L191" s="80"/>
      <c r="M191" s="80"/>
      <c r="N191" s="80"/>
      <c r="O191" s="472" t="s">
        <v>155</v>
      </c>
      <c r="P191" s="472"/>
      <c r="Q191" s="472"/>
      <c r="R191" s="472"/>
      <c r="S191" s="472"/>
      <c r="T191" s="472"/>
      <c r="U191" s="472"/>
      <c r="V191" s="472"/>
      <c r="W191" s="472"/>
      <c r="X191" s="472"/>
    </row>
    <row r="192" spans="1:24" ht="6" customHeight="1" hidden="1">
      <c r="A192" s="78"/>
      <c r="B192" s="82"/>
      <c r="C192" s="133"/>
      <c r="D192" s="82"/>
      <c r="E192" s="90"/>
      <c r="F192" s="80"/>
      <c r="G192" s="80"/>
      <c r="H192" s="80"/>
      <c r="I192" s="80"/>
      <c r="J192" s="80"/>
      <c r="K192" s="80"/>
      <c r="L192" s="80"/>
      <c r="M192" s="80"/>
      <c r="N192" s="80"/>
      <c r="O192" s="89"/>
      <c r="P192" s="89"/>
      <c r="Q192" s="83"/>
      <c r="R192" s="83"/>
      <c r="S192" s="83"/>
      <c r="T192" s="84"/>
      <c r="U192" s="83"/>
      <c r="V192" s="83"/>
      <c r="W192" s="83"/>
      <c r="X192" s="89"/>
    </row>
    <row r="193" spans="1:24" ht="15" customHeight="1" hidden="1">
      <c r="A193" s="78"/>
      <c r="B193" s="82"/>
      <c r="C193" s="133"/>
      <c r="D193" s="90"/>
      <c r="E193" s="90"/>
      <c r="F193" s="80"/>
      <c r="G193" s="80"/>
      <c r="H193" s="80"/>
      <c r="I193" s="80"/>
      <c r="J193" s="80"/>
      <c r="K193" s="80"/>
      <c r="L193" s="81"/>
      <c r="M193" s="91"/>
      <c r="N193" s="80"/>
      <c r="O193" s="89"/>
      <c r="P193" s="92"/>
      <c r="Q193" s="83"/>
      <c r="R193" s="83"/>
      <c r="S193" s="83"/>
      <c r="T193" s="84"/>
      <c r="U193" s="83"/>
      <c r="V193" s="83"/>
      <c r="W193" s="83"/>
      <c r="X193" s="92"/>
    </row>
    <row r="194" spans="1:24" ht="15.75" customHeight="1" hidden="1">
      <c r="A194" s="78"/>
      <c r="B194" s="82"/>
      <c r="C194" s="133"/>
      <c r="D194" s="90"/>
      <c r="E194" s="90"/>
      <c r="F194" s="80"/>
      <c r="G194" s="80"/>
      <c r="H194" s="80"/>
      <c r="I194" s="80"/>
      <c r="J194" s="80"/>
      <c r="K194" s="80"/>
      <c r="L194" s="81"/>
      <c r="M194" s="91"/>
      <c r="N194" s="80"/>
      <c r="O194" s="89"/>
      <c r="P194" s="92"/>
      <c r="Q194" s="83"/>
      <c r="R194" s="83"/>
      <c r="S194" s="83"/>
      <c r="T194" s="84"/>
      <c r="U194" s="83"/>
      <c r="V194" s="83"/>
      <c r="W194" s="83"/>
      <c r="X194" s="92"/>
    </row>
    <row r="195" spans="1:24" ht="99" customHeight="1">
      <c r="A195" s="469" t="s">
        <v>156</v>
      </c>
      <c r="B195" s="469"/>
      <c r="C195" s="469"/>
      <c r="D195" s="469"/>
      <c r="E195" s="469"/>
      <c r="F195" s="473"/>
      <c r="G195" s="473"/>
      <c r="H195" s="87"/>
      <c r="I195" s="87"/>
      <c r="J195" s="87"/>
      <c r="K195" s="80"/>
      <c r="L195" s="93"/>
      <c r="M195" s="93"/>
      <c r="N195" s="341"/>
      <c r="O195" s="474" t="s">
        <v>203</v>
      </c>
      <c r="P195" s="474"/>
      <c r="Q195" s="474"/>
      <c r="R195" s="474"/>
      <c r="S195" s="474"/>
      <c r="T195" s="474"/>
      <c r="U195" s="474"/>
      <c r="V195" s="474"/>
      <c r="W195" s="474"/>
      <c r="X195" s="474"/>
    </row>
    <row r="196" spans="1:24" s="215" customFormat="1" ht="20.25" customHeight="1">
      <c r="A196" s="475" t="s">
        <v>211</v>
      </c>
      <c r="B196" s="476"/>
      <c r="C196" s="476"/>
      <c r="D196" s="476"/>
      <c r="E196" s="476"/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  <c r="X196" s="476"/>
    </row>
    <row r="197" spans="1:24" ht="205.5" customHeight="1" hidden="1">
      <c r="A197" s="97"/>
      <c r="B197" s="98"/>
      <c r="C197" s="135"/>
      <c r="D197" s="94"/>
      <c r="E197" s="99"/>
      <c r="F197" s="99"/>
      <c r="G197" s="99"/>
      <c r="H197" s="99"/>
      <c r="I197" s="99"/>
      <c r="J197" s="99"/>
      <c r="K197" s="95"/>
      <c r="L197"/>
      <c r="M197"/>
      <c r="N197" s="96"/>
      <c r="O197"/>
      <c r="P197"/>
      <c r="X197"/>
    </row>
    <row r="198" spans="1:24" ht="12.75" hidden="1">
      <c r="A198" s="100"/>
      <c r="B198" s="100"/>
      <c r="C198" s="134"/>
      <c r="D198" s="101"/>
      <c r="E198" s="101"/>
      <c r="F198" s="101"/>
      <c r="G198" s="101"/>
      <c r="H198" s="101"/>
      <c r="I198" s="101"/>
      <c r="J198" s="101"/>
      <c r="K198" s="101"/>
      <c r="L198" s="102"/>
      <c r="M198"/>
      <c r="N198" s="96"/>
      <c r="O198"/>
      <c r="P198"/>
      <c r="X198"/>
    </row>
    <row r="199" spans="1:24" ht="12.75" hidden="1">
      <c r="A199" s="102"/>
      <c r="B199" s="100"/>
      <c r="C199" s="134"/>
      <c r="D199" s="100"/>
      <c r="E199" s="101"/>
      <c r="F199" s="101"/>
      <c r="G199" s="101"/>
      <c r="H199" s="101"/>
      <c r="I199" s="101"/>
      <c r="J199" s="101"/>
      <c r="K199" s="101"/>
      <c r="L199" s="101"/>
      <c r="M199" s="101"/>
      <c r="N199" s="342"/>
      <c r="O199"/>
      <c r="P199"/>
      <c r="X199"/>
    </row>
    <row r="200" spans="1:24" ht="12.75" hidden="1">
      <c r="A200" s="102"/>
      <c r="B200" s="100"/>
      <c r="C200" s="134"/>
      <c r="D200" s="100"/>
      <c r="E200" s="101"/>
      <c r="F200" s="101"/>
      <c r="G200" s="101"/>
      <c r="H200" s="101"/>
      <c r="I200" s="101"/>
      <c r="J200" s="101"/>
      <c r="K200" s="101"/>
      <c r="L200" s="101"/>
      <c r="M200" s="101"/>
      <c r="N200" s="342"/>
      <c r="O200"/>
      <c r="P200"/>
      <c r="X200"/>
    </row>
    <row r="201" spans="1:24" ht="1.5" customHeight="1" hidden="1">
      <c r="A201" s="477" t="s">
        <v>172</v>
      </c>
      <c r="B201" s="477"/>
      <c r="C201" s="477"/>
      <c r="D201" s="477"/>
      <c r="E201" s="477"/>
      <c r="F201" s="477"/>
      <c r="G201" s="477"/>
      <c r="H201" s="477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477"/>
      <c r="X201" s="100"/>
    </row>
    <row r="202" spans="1:24" ht="12.75" hidden="1">
      <c r="A202" s="102"/>
      <c r="B202" s="100"/>
      <c r="C202" s="134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0"/>
      <c r="P202" s="100"/>
      <c r="X202" s="100"/>
    </row>
    <row r="203" spans="1:33" ht="164.25" customHeight="1">
      <c r="A203" s="293" t="s">
        <v>0</v>
      </c>
      <c r="B203" s="294" t="s">
        <v>131</v>
      </c>
      <c r="C203" s="295" t="s">
        <v>157</v>
      </c>
      <c r="D203" s="296" t="s">
        <v>158</v>
      </c>
      <c r="E203" s="297" t="s">
        <v>159</v>
      </c>
      <c r="F203" s="296" t="s">
        <v>160</v>
      </c>
      <c r="G203" s="298" t="s">
        <v>161</v>
      </c>
      <c r="H203" s="298" t="s">
        <v>162</v>
      </c>
      <c r="I203" s="298" t="s">
        <v>163</v>
      </c>
      <c r="J203" s="299"/>
      <c r="K203" s="299" t="s">
        <v>164</v>
      </c>
      <c r="L203" s="296" t="s">
        <v>165</v>
      </c>
      <c r="M203" s="478" t="s">
        <v>202</v>
      </c>
      <c r="N203" s="478"/>
      <c r="O203" s="478" t="s">
        <v>201</v>
      </c>
      <c r="P203" s="478"/>
      <c r="Q203" s="478"/>
      <c r="R203" s="478"/>
      <c r="S203" s="478"/>
      <c r="T203" s="478"/>
      <c r="U203" s="478"/>
      <c r="V203" s="478"/>
      <c r="W203" s="478"/>
      <c r="X203" s="478"/>
      <c r="Y203" s="103"/>
      <c r="Z203" s="103"/>
      <c r="AA203" s="103"/>
      <c r="AB203" s="103"/>
      <c r="AC203" s="103"/>
      <c r="AD203" s="103"/>
      <c r="AE203" s="479"/>
      <c r="AF203" s="479"/>
      <c r="AG203" s="104"/>
    </row>
    <row r="204" spans="1:33" s="156" customFormat="1" ht="10.5">
      <c r="A204" s="300">
        <v>1</v>
      </c>
      <c r="B204" s="301">
        <v>2</v>
      </c>
      <c r="C204" s="289">
        <v>3</v>
      </c>
      <c r="D204" s="301">
        <v>4</v>
      </c>
      <c r="E204" s="302">
        <v>5</v>
      </c>
      <c r="F204" s="301">
        <v>6</v>
      </c>
      <c r="G204" s="289">
        <v>7</v>
      </c>
      <c r="H204" s="301">
        <v>8</v>
      </c>
      <c r="I204" s="289">
        <v>9</v>
      </c>
      <c r="J204" s="408"/>
      <c r="K204" s="303">
        <v>10</v>
      </c>
      <c r="L204" s="289">
        <v>11</v>
      </c>
      <c r="M204" s="480">
        <v>12</v>
      </c>
      <c r="N204" s="480"/>
      <c r="O204" s="481">
        <v>13</v>
      </c>
      <c r="P204" s="482"/>
      <c r="Q204" s="482"/>
      <c r="R204" s="482"/>
      <c r="S204" s="482"/>
      <c r="T204" s="482"/>
      <c r="U204" s="482"/>
      <c r="V204" s="482"/>
      <c r="W204" s="482"/>
      <c r="X204" s="483"/>
      <c r="Y204" s="140"/>
      <c r="Z204" s="140"/>
      <c r="AA204" s="140"/>
      <c r="AB204" s="140"/>
      <c r="AC204" s="140"/>
      <c r="AD204" s="140"/>
      <c r="AE204" s="484"/>
      <c r="AF204" s="484"/>
      <c r="AG204" s="155"/>
    </row>
    <row r="205" spans="1:33" ht="25.5">
      <c r="A205" s="2">
        <v>1</v>
      </c>
      <c r="B205" s="66" t="s">
        <v>138</v>
      </c>
      <c r="C205" s="136" t="s">
        <v>53</v>
      </c>
      <c r="D205" s="136" t="s">
        <v>53</v>
      </c>
      <c r="E205" s="136" t="s">
        <v>53</v>
      </c>
      <c r="F205" s="136" t="s">
        <v>53</v>
      </c>
      <c r="G205" s="136" t="s">
        <v>53</v>
      </c>
      <c r="H205" s="136" t="s">
        <v>53</v>
      </c>
      <c r="I205" s="136" t="s">
        <v>53</v>
      </c>
      <c r="J205" s="280"/>
      <c r="K205" s="280" t="s">
        <v>53</v>
      </c>
      <c r="L205" s="126" t="s">
        <v>53</v>
      </c>
      <c r="M205" s="485">
        <f>M206+M207+M208</f>
        <v>0</v>
      </c>
      <c r="N205" s="485"/>
      <c r="O205" s="486">
        <f>O206+O207+O208</f>
        <v>0</v>
      </c>
      <c r="P205" s="487"/>
      <c r="Q205" s="487"/>
      <c r="R205" s="487"/>
      <c r="S205" s="487"/>
      <c r="T205" s="487"/>
      <c r="U205" s="487"/>
      <c r="V205" s="487"/>
      <c r="W205" s="487"/>
      <c r="X205" s="488"/>
      <c r="Y205" s="105"/>
      <c r="Z205" s="105"/>
      <c r="AA205" s="105"/>
      <c r="AB205" s="105"/>
      <c r="AC205" s="105"/>
      <c r="AD205" s="105"/>
      <c r="AE205" s="489"/>
      <c r="AF205" s="489"/>
      <c r="AG205" s="104"/>
    </row>
    <row r="206" spans="1:33" ht="12.75">
      <c r="A206" s="128"/>
      <c r="B206" s="129" t="s">
        <v>139</v>
      </c>
      <c r="C206" s="137" t="s">
        <v>53</v>
      </c>
      <c r="D206" s="137" t="s">
        <v>53</v>
      </c>
      <c r="E206" s="137" t="s">
        <v>53</v>
      </c>
      <c r="F206" s="137" t="s">
        <v>53</v>
      </c>
      <c r="G206" s="137" t="s">
        <v>53</v>
      </c>
      <c r="H206" s="137" t="s">
        <v>53</v>
      </c>
      <c r="I206" s="137" t="s">
        <v>53</v>
      </c>
      <c r="J206" s="281"/>
      <c r="K206" s="281" t="s">
        <v>53</v>
      </c>
      <c r="L206" s="126" t="s">
        <v>53</v>
      </c>
      <c r="M206" s="490"/>
      <c r="N206" s="490"/>
      <c r="O206" s="491"/>
      <c r="P206" s="492"/>
      <c r="Q206" s="492"/>
      <c r="R206" s="492"/>
      <c r="S206" s="492"/>
      <c r="T206" s="492"/>
      <c r="U206" s="492"/>
      <c r="V206" s="492"/>
      <c r="W206" s="492"/>
      <c r="X206" s="493"/>
      <c r="Y206" s="105"/>
      <c r="Z206" s="105"/>
      <c r="AA206" s="105"/>
      <c r="AB206" s="105"/>
      <c r="AC206" s="105"/>
      <c r="AD206" s="105"/>
      <c r="AE206" s="494"/>
      <c r="AF206" s="494"/>
      <c r="AG206" s="104"/>
    </row>
    <row r="207" spans="1:33" ht="12.75">
      <c r="A207" s="68"/>
      <c r="B207" s="69" t="s">
        <v>140</v>
      </c>
      <c r="C207" s="126" t="s">
        <v>53</v>
      </c>
      <c r="D207" s="126" t="s">
        <v>53</v>
      </c>
      <c r="E207" s="126" t="s">
        <v>53</v>
      </c>
      <c r="F207" s="126" t="s">
        <v>53</v>
      </c>
      <c r="G207" s="126" t="s">
        <v>53</v>
      </c>
      <c r="H207" s="126" t="s">
        <v>53</v>
      </c>
      <c r="I207" s="126" t="s">
        <v>53</v>
      </c>
      <c r="J207" s="279"/>
      <c r="K207" s="279" t="s">
        <v>53</v>
      </c>
      <c r="L207" s="126" t="s">
        <v>53</v>
      </c>
      <c r="M207" s="490"/>
      <c r="N207" s="490"/>
      <c r="O207" s="491"/>
      <c r="P207" s="492"/>
      <c r="Q207" s="492"/>
      <c r="R207" s="492"/>
      <c r="S207" s="492"/>
      <c r="T207" s="492"/>
      <c r="U207" s="492"/>
      <c r="V207" s="492"/>
      <c r="W207" s="492"/>
      <c r="X207" s="493"/>
      <c r="Y207" s="105"/>
      <c r="Z207" s="105"/>
      <c r="AA207" s="105"/>
      <c r="AB207" s="105"/>
      <c r="AC207" s="105"/>
      <c r="AD207" s="105"/>
      <c r="AE207" s="494"/>
      <c r="AF207" s="494"/>
      <c r="AG207" s="104"/>
    </row>
    <row r="208" spans="1:33" ht="12.75">
      <c r="A208" s="68"/>
      <c r="B208" s="71" t="s">
        <v>141</v>
      </c>
      <c r="C208" s="126" t="s">
        <v>53</v>
      </c>
      <c r="D208" s="126" t="s">
        <v>53</v>
      </c>
      <c r="E208" s="126" t="s">
        <v>53</v>
      </c>
      <c r="F208" s="126" t="s">
        <v>53</v>
      </c>
      <c r="G208" s="126" t="s">
        <v>53</v>
      </c>
      <c r="H208" s="126" t="s">
        <v>53</v>
      </c>
      <c r="I208" s="126" t="s">
        <v>53</v>
      </c>
      <c r="J208" s="279"/>
      <c r="K208" s="279" t="s">
        <v>53</v>
      </c>
      <c r="L208" s="126" t="s">
        <v>53</v>
      </c>
      <c r="M208" s="495"/>
      <c r="N208" s="495"/>
      <c r="O208" s="491"/>
      <c r="P208" s="492"/>
      <c r="Q208" s="492"/>
      <c r="R208" s="492"/>
      <c r="S208" s="492"/>
      <c r="T208" s="492"/>
      <c r="U208" s="492"/>
      <c r="V208" s="492"/>
      <c r="W208" s="492"/>
      <c r="X208" s="493"/>
      <c r="Y208" s="105"/>
      <c r="Z208" s="105"/>
      <c r="AA208" s="105"/>
      <c r="AB208" s="105"/>
      <c r="AC208" s="105"/>
      <c r="AD208" s="105"/>
      <c r="AE208" s="494"/>
      <c r="AF208" s="494"/>
      <c r="AG208" s="104"/>
    </row>
    <row r="209" spans="1:33" ht="14.25" customHeight="1">
      <c r="A209" s="65">
        <v>2</v>
      </c>
      <c r="B209" s="66" t="s">
        <v>149</v>
      </c>
      <c r="C209" s="39"/>
      <c r="D209" s="126"/>
      <c r="E209" s="126"/>
      <c r="F209" s="126"/>
      <c r="G209" s="126"/>
      <c r="H209" s="126"/>
      <c r="I209" s="126"/>
      <c r="J209" s="126"/>
      <c r="K209" s="126"/>
      <c r="L209" s="126"/>
      <c r="M209" s="496">
        <f>M211+M212+M213+M214</f>
        <v>181.19904000000002</v>
      </c>
      <c r="N209" s="496"/>
      <c r="O209" s="486">
        <f>O210+O214</f>
        <v>0</v>
      </c>
      <c r="P209" s="487"/>
      <c r="Q209" s="487"/>
      <c r="R209" s="487"/>
      <c r="S209" s="487"/>
      <c r="T209" s="487"/>
      <c r="U209" s="487"/>
      <c r="V209" s="487"/>
      <c r="W209" s="487"/>
      <c r="X209" s="488"/>
      <c r="Y209" s="105"/>
      <c r="Z209" s="105"/>
      <c r="AA209" s="105"/>
      <c r="AB209" s="105"/>
      <c r="AC209" s="105"/>
      <c r="AD209" s="105"/>
      <c r="AE209" s="106"/>
      <c r="AF209" s="106"/>
      <c r="AG209" s="104"/>
    </row>
    <row r="210" spans="1:33" ht="14.25" customHeight="1">
      <c r="A210" s="68" t="s">
        <v>142</v>
      </c>
      <c r="B210" s="71" t="s">
        <v>143</v>
      </c>
      <c r="C210" s="113">
        <f>C211+C212</f>
        <v>181.19904000000002</v>
      </c>
      <c r="D210" s="304">
        <f aca="true" t="shared" si="55" ref="D210:L210">D211+D212</f>
        <v>0.264</v>
      </c>
      <c r="E210" s="126">
        <f t="shared" si="55"/>
        <v>686.36</v>
      </c>
      <c r="F210" s="113">
        <f t="shared" si="55"/>
        <v>0</v>
      </c>
      <c r="G210" s="113">
        <f t="shared" si="55"/>
        <v>0</v>
      </c>
      <c r="H210" s="304">
        <f t="shared" si="55"/>
        <v>0</v>
      </c>
      <c r="I210" s="304">
        <f t="shared" si="55"/>
        <v>0</v>
      </c>
      <c r="J210" s="126"/>
      <c r="K210" s="304">
        <f t="shared" si="55"/>
        <v>0</v>
      </c>
      <c r="L210" s="113">
        <f t="shared" si="55"/>
        <v>0</v>
      </c>
      <c r="M210" s="497">
        <f>C210+F210+G210+L210</f>
        <v>181.19904000000002</v>
      </c>
      <c r="N210" s="497"/>
      <c r="O210" s="498">
        <v>0</v>
      </c>
      <c r="P210" s="499"/>
      <c r="Q210" s="499"/>
      <c r="R210" s="499"/>
      <c r="S210" s="499"/>
      <c r="T210" s="499"/>
      <c r="U210" s="499"/>
      <c r="V210" s="499"/>
      <c r="W210" s="499"/>
      <c r="X210" s="500"/>
      <c r="Y210" s="105"/>
      <c r="Z210" s="105"/>
      <c r="AA210" s="105"/>
      <c r="AB210" s="105"/>
      <c r="AC210" s="105"/>
      <c r="AD210" s="105"/>
      <c r="AE210" s="106"/>
      <c r="AF210" s="106"/>
      <c r="AG210" s="104"/>
    </row>
    <row r="211" spans="1:33" ht="21.75" customHeight="1">
      <c r="A211" s="68"/>
      <c r="B211" s="71" t="s">
        <v>144</v>
      </c>
      <c r="C211" s="145">
        <f>D211*E211</f>
        <v>181.19904000000002</v>
      </c>
      <c r="D211" s="39">
        <v>0.264</v>
      </c>
      <c r="E211" s="108">
        <v>686.36</v>
      </c>
      <c r="F211" s="146">
        <v>0</v>
      </c>
      <c r="G211" s="147">
        <f>H211*I211*K211</f>
        <v>0</v>
      </c>
      <c r="H211" s="107">
        <v>0</v>
      </c>
      <c r="I211" s="107">
        <v>0</v>
      </c>
      <c r="J211" s="108"/>
      <c r="K211" s="108">
        <v>0</v>
      </c>
      <c r="L211" s="146">
        <v>0</v>
      </c>
      <c r="M211" s="497">
        <f>C211+F211+G211+L211</f>
        <v>181.19904000000002</v>
      </c>
      <c r="N211" s="497"/>
      <c r="O211" s="501">
        <v>0</v>
      </c>
      <c r="P211" s="502"/>
      <c r="Q211" s="502"/>
      <c r="R211" s="502"/>
      <c r="S211" s="502"/>
      <c r="T211" s="502"/>
      <c r="U211" s="502"/>
      <c r="V211" s="502"/>
      <c r="W211" s="502"/>
      <c r="X211" s="503"/>
      <c r="Y211" s="110"/>
      <c r="Z211" s="111"/>
      <c r="AA211" s="109"/>
      <c r="AB211" s="109"/>
      <c r="AC211" s="109"/>
      <c r="AD211" s="110"/>
      <c r="AE211" s="489"/>
      <c r="AF211" s="489"/>
      <c r="AG211" s="104"/>
    </row>
    <row r="212" spans="1:33" ht="12.75">
      <c r="A212" s="68"/>
      <c r="B212" s="71" t="s">
        <v>145</v>
      </c>
      <c r="C212" s="145">
        <f>D212*E212</f>
        <v>0</v>
      </c>
      <c r="D212" s="143"/>
      <c r="E212" s="139">
        <v>0</v>
      </c>
      <c r="F212" s="146">
        <v>0</v>
      </c>
      <c r="G212" s="147">
        <f>H212*I212*K212</f>
        <v>0</v>
      </c>
      <c r="H212" s="139">
        <v>0</v>
      </c>
      <c r="I212" s="139">
        <v>0</v>
      </c>
      <c r="J212" s="108"/>
      <c r="K212" s="139">
        <v>0</v>
      </c>
      <c r="L212" s="146">
        <v>0</v>
      </c>
      <c r="M212" s="497">
        <f>C212+F212+G212+L212</f>
        <v>0</v>
      </c>
      <c r="N212" s="497"/>
      <c r="O212" s="501"/>
      <c r="P212" s="502"/>
      <c r="Q212" s="502"/>
      <c r="R212" s="502"/>
      <c r="S212" s="502"/>
      <c r="T212" s="502"/>
      <c r="U212" s="502"/>
      <c r="V212" s="502"/>
      <c r="W212" s="502"/>
      <c r="X212" s="503"/>
      <c r="Y212" s="110"/>
      <c r="Z212" s="111"/>
      <c r="AA212" s="109"/>
      <c r="AB212" s="109"/>
      <c r="AC212" s="109"/>
      <c r="AD212" s="110"/>
      <c r="AE212" s="489"/>
      <c r="AF212" s="489"/>
      <c r="AG212" s="104"/>
    </row>
    <row r="213" spans="1:33" ht="25.5">
      <c r="A213" s="72" t="s">
        <v>146</v>
      </c>
      <c r="B213" s="71" t="s">
        <v>147</v>
      </c>
      <c r="C213" s="126" t="s">
        <v>53</v>
      </c>
      <c r="D213" s="126" t="s">
        <v>53</v>
      </c>
      <c r="E213" s="126" t="s">
        <v>53</v>
      </c>
      <c r="F213" s="126" t="s">
        <v>53</v>
      </c>
      <c r="G213" s="126" t="s">
        <v>53</v>
      </c>
      <c r="H213" s="126" t="s">
        <v>53</v>
      </c>
      <c r="I213" s="126" t="s">
        <v>53</v>
      </c>
      <c r="J213" s="126"/>
      <c r="K213" s="126" t="s">
        <v>53</v>
      </c>
      <c r="L213" s="126" t="s">
        <v>53</v>
      </c>
      <c r="M213" s="490"/>
      <c r="N213" s="490"/>
      <c r="O213" s="491"/>
      <c r="P213" s="492"/>
      <c r="Q213" s="492"/>
      <c r="R213" s="492"/>
      <c r="S213" s="492"/>
      <c r="T213" s="492"/>
      <c r="U213" s="492"/>
      <c r="V213" s="492"/>
      <c r="W213" s="492"/>
      <c r="X213" s="493"/>
      <c r="Y213" s="105"/>
      <c r="Z213" s="105"/>
      <c r="AA213" s="105"/>
      <c r="AB213" s="105"/>
      <c r="AC213" s="105"/>
      <c r="AD213" s="105"/>
      <c r="AE213" s="494"/>
      <c r="AF213" s="494"/>
      <c r="AG213" s="104"/>
    </row>
    <row r="214" spans="1:33" ht="25.5">
      <c r="A214" s="73" t="s">
        <v>148</v>
      </c>
      <c r="B214" s="71" t="s">
        <v>149</v>
      </c>
      <c r="C214" s="126" t="s">
        <v>53</v>
      </c>
      <c r="D214" s="126" t="s">
        <v>53</v>
      </c>
      <c r="E214" s="126" t="s">
        <v>53</v>
      </c>
      <c r="F214" s="126" t="s">
        <v>53</v>
      </c>
      <c r="G214" s="126" t="s">
        <v>53</v>
      </c>
      <c r="H214" s="126" t="s">
        <v>53</v>
      </c>
      <c r="I214" s="126" t="s">
        <v>53</v>
      </c>
      <c r="J214" s="126"/>
      <c r="K214" s="126" t="s">
        <v>53</v>
      </c>
      <c r="L214" s="126" t="s">
        <v>53</v>
      </c>
      <c r="M214" s="490"/>
      <c r="N214" s="490"/>
      <c r="O214" s="491"/>
      <c r="P214" s="492"/>
      <c r="Q214" s="492"/>
      <c r="R214" s="492"/>
      <c r="S214" s="492"/>
      <c r="T214" s="492"/>
      <c r="U214" s="492"/>
      <c r="V214" s="492"/>
      <c r="W214" s="492"/>
      <c r="X214" s="493"/>
      <c r="Y214" s="105"/>
      <c r="Z214" s="105"/>
      <c r="AA214" s="105"/>
      <c r="AB214" s="105"/>
      <c r="AC214" s="105"/>
      <c r="AD214" s="105"/>
      <c r="AE214" s="316"/>
      <c r="AF214" s="316"/>
      <c r="AG214" s="104"/>
    </row>
    <row r="215" spans="1:33" ht="25.5">
      <c r="A215" s="74">
        <v>3</v>
      </c>
      <c r="B215" s="66" t="s">
        <v>150</v>
      </c>
      <c r="C215" s="126" t="s">
        <v>53</v>
      </c>
      <c r="D215" s="126" t="s">
        <v>53</v>
      </c>
      <c r="E215" s="126" t="s">
        <v>53</v>
      </c>
      <c r="F215" s="126" t="s">
        <v>53</v>
      </c>
      <c r="G215" s="126" t="s">
        <v>53</v>
      </c>
      <c r="H215" s="126" t="s">
        <v>53</v>
      </c>
      <c r="I215" s="126" t="s">
        <v>53</v>
      </c>
      <c r="J215" s="126"/>
      <c r="K215" s="126" t="s">
        <v>53</v>
      </c>
      <c r="L215" s="126" t="s">
        <v>53</v>
      </c>
      <c r="M215" s="490"/>
      <c r="N215" s="490"/>
      <c r="O215" s="491"/>
      <c r="P215" s="492"/>
      <c r="Q215" s="492"/>
      <c r="R215" s="492"/>
      <c r="S215" s="492"/>
      <c r="T215" s="492"/>
      <c r="U215" s="492"/>
      <c r="V215" s="492"/>
      <c r="W215" s="492"/>
      <c r="X215" s="493"/>
      <c r="Y215" s="105"/>
      <c r="Z215" s="105"/>
      <c r="AA215" s="105"/>
      <c r="AB215" s="105"/>
      <c r="AC215" s="105"/>
      <c r="AD215" s="105"/>
      <c r="AE215" s="316"/>
      <c r="AF215" s="316"/>
      <c r="AG215" s="104"/>
    </row>
    <row r="216" spans="1:33" ht="12.75">
      <c r="A216" s="12"/>
      <c r="B216" s="76" t="s">
        <v>151</v>
      </c>
      <c r="C216" s="113" t="s">
        <v>53</v>
      </c>
      <c r="D216" s="113" t="s">
        <v>53</v>
      </c>
      <c r="E216" s="113" t="s">
        <v>53</v>
      </c>
      <c r="F216" s="113" t="s">
        <v>53</v>
      </c>
      <c r="G216" s="113" t="s">
        <v>53</v>
      </c>
      <c r="H216" s="113" t="s">
        <v>53</v>
      </c>
      <c r="I216" s="112"/>
      <c r="J216" s="406"/>
      <c r="K216" s="113" t="s">
        <v>53</v>
      </c>
      <c r="L216" s="127"/>
      <c r="M216" s="504">
        <f>M205+M209+M215</f>
        <v>181.19904000000002</v>
      </c>
      <c r="N216" s="504"/>
      <c r="O216" s="505">
        <f>O205+O209</f>
        <v>0</v>
      </c>
      <c r="P216" s="506"/>
      <c r="Q216" s="506"/>
      <c r="R216" s="506"/>
      <c r="S216" s="506"/>
      <c r="T216" s="506"/>
      <c r="U216" s="506"/>
      <c r="V216" s="506"/>
      <c r="W216" s="506"/>
      <c r="X216" s="507"/>
      <c r="Y216" s="115"/>
      <c r="Z216" s="115"/>
      <c r="AA216" s="114"/>
      <c r="AB216" s="114"/>
      <c r="AC216" s="114"/>
      <c r="AD216" s="115"/>
      <c r="AE216" s="489"/>
      <c r="AF216" s="489"/>
      <c r="AG216" s="104"/>
    </row>
    <row r="217" spans="1:33" ht="12.75">
      <c r="A217" s="62"/>
      <c r="B217" s="100"/>
      <c r="C217" s="134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0"/>
      <c r="P217" s="100"/>
      <c r="X217" s="116"/>
      <c r="Y217" s="104"/>
      <c r="Z217" s="104"/>
      <c r="AA217" s="104"/>
      <c r="AB217" s="104"/>
      <c r="AC217" s="104"/>
      <c r="AD217" s="104"/>
      <c r="AE217" s="104"/>
      <c r="AF217" s="104"/>
      <c r="AG217" s="104"/>
    </row>
    <row r="218" spans="1:24" ht="18.75">
      <c r="A218" s="102"/>
      <c r="B218" s="117" t="s">
        <v>166</v>
      </c>
      <c r="C218" s="134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0"/>
      <c r="P218" s="100"/>
      <c r="X218" s="100"/>
    </row>
    <row r="219" spans="1:24" ht="12.75" hidden="1">
      <c r="A219" s="102"/>
      <c r="B219" s="100"/>
      <c r="C219" s="134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0"/>
      <c r="P219" s="100"/>
      <c r="X219" s="100"/>
    </row>
    <row r="220" spans="1:24" ht="12.75" hidden="1">
      <c r="A220" s="102"/>
      <c r="B220" s="100"/>
      <c r="C220" s="134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0"/>
      <c r="P220" s="100"/>
      <c r="X220" s="100"/>
    </row>
    <row r="221" spans="1:24" ht="12.75" hidden="1">
      <c r="A221" s="102"/>
      <c r="B221" s="100"/>
      <c r="C221" s="134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0"/>
      <c r="P221" s="100"/>
      <c r="X221" s="100"/>
    </row>
    <row r="222" spans="1:24" ht="12.75" hidden="1">
      <c r="A222" s="102"/>
      <c r="B222" s="100"/>
      <c r="C222" s="134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0"/>
      <c r="P222" s="100"/>
      <c r="X222" s="100"/>
    </row>
    <row r="223" spans="1:24" ht="12.75" hidden="1">
      <c r="A223" s="102"/>
      <c r="B223" s="100"/>
      <c r="C223" s="134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0"/>
      <c r="P223" s="100"/>
      <c r="X223" s="100"/>
    </row>
    <row r="224" spans="1:24" ht="12.75" hidden="1">
      <c r="A224" s="102"/>
      <c r="B224" s="100"/>
      <c r="C224" s="134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0"/>
      <c r="P224" s="100"/>
      <c r="X224" s="100"/>
    </row>
    <row r="225" spans="1:24" ht="12.75" hidden="1">
      <c r="A225" s="102"/>
      <c r="B225" s="100"/>
      <c r="C225" s="134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0"/>
      <c r="P225" s="100"/>
      <c r="X225" s="100"/>
    </row>
    <row r="226" spans="1:24" ht="12.75" hidden="1">
      <c r="A226" s="102"/>
      <c r="B226" s="100"/>
      <c r="C226" s="134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0"/>
      <c r="P226" s="100"/>
      <c r="X226" s="100"/>
    </row>
    <row r="227" spans="1:24" ht="18.75" hidden="1">
      <c r="A227" s="102"/>
      <c r="B227" s="117"/>
      <c r="C227" s="134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0"/>
      <c r="P227" s="100"/>
      <c r="X227" s="100"/>
    </row>
    <row r="228" spans="1:24" ht="18.75" hidden="1">
      <c r="A228" s="102"/>
      <c r="B228" s="117"/>
      <c r="C228" s="134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0"/>
      <c r="P228" s="100"/>
      <c r="X228" s="100"/>
    </row>
    <row r="229" spans="1:24" ht="18.75" hidden="1">
      <c r="A229" s="102"/>
      <c r="B229" s="117"/>
      <c r="C229" s="134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0"/>
      <c r="P229" s="100"/>
      <c r="X229" s="100"/>
    </row>
    <row r="230" spans="1:24" ht="18.75" hidden="1">
      <c r="A230" s="102"/>
      <c r="B230" s="117"/>
      <c r="C230" s="134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0"/>
      <c r="P230" s="100"/>
      <c r="X230" s="100"/>
    </row>
    <row r="231" spans="1:24" ht="18.75" hidden="1">
      <c r="A231" s="102"/>
      <c r="B231" s="117"/>
      <c r="C231" s="134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0"/>
      <c r="P231" s="100"/>
      <c r="X231" s="100"/>
    </row>
    <row r="232" ht="18.75" hidden="1">
      <c r="B232" s="118"/>
    </row>
    <row r="233" ht="18.75" hidden="1">
      <c r="B233" s="118"/>
    </row>
    <row r="234" ht="18.75" hidden="1">
      <c r="B234" s="118"/>
    </row>
    <row r="235" ht="18.75">
      <c r="B235" s="118" t="s">
        <v>167</v>
      </c>
    </row>
    <row r="236" ht="18.75">
      <c r="B236" s="118" t="s">
        <v>168</v>
      </c>
    </row>
    <row r="261" ht="12.75"/>
    <row r="262" ht="12.75"/>
  </sheetData>
  <sheetProtection formatCells="0" formatColumns="0" formatRows="0"/>
  <mergeCells count="124">
    <mergeCell ref="J5:J6"/>
    <mergeCell ref="F4:J4"/>
    <mergeCell ref="B154:C154"/>
    <mergeCell ref="D4:E4"/>
    <mergeCell ref="X8:X17"/>
    <mergeCell ref="H168:H170"/>
    <mergeCell ref="C168:C170"/>
    <mergeCell ref="L168:L170"/>
    <mergeCell ref="O212:X212"/>
    <mergeCell ref="O213:X213"/>
    <mergeCell ref="O206:X206"/>
    <mergeCell ref="O207:X207"/>
    <mergeCell ref="X19:X22"/>
    <mergeCell ref="B165:X165"/>
    <mergeCell ref="N182:O182"/>
    <mergeCell ref="B155:C155"/>
    <mergeCell ref="D5:D6"/>
    <mergeCell ref="E5:E6"/>
    <mergeCell ref="Q5:W5"/>
    <mergeCell ref="F5:F6"/>
    <mergeCell ref="G5:G6"/>
    <mergeCell ref="H5:H6"/>
    <mergeCell ref="I5:I6"/>
    <mergeCell ref="M5:N5"/>
    <mergeCell ref="P5:P6"/>
    <mergeCell ref="O5:O6"/>
    <mergeCell ref="B184:D184"/>
    <mergeCell ref="A1:X2"/>
    <mergeCell ref="A3:D3"/>
    <mergeCell ref="E3:X3"/>
    <mergeCell ref="A4:A6"/>
    <mergeCell ref="B4:B6"/>
    <mergeCell ref="C4:C6"/>
    <mergeCell ref="K4:W4"/>
    <mergeCell ref="X4:X6"/>
    <mergeCell ref="K5:L5"/>
    <mergeCell ref="B186:D186"/>
    <mergeCell ref="O205:X205"/>
    <mergeCell ref="O188:X188"/>
    <mergeCell ref="O191:X191"/>
    <mergeCell ref="O195:X195"/>
    <mergeCell ref="A201:W201"/>
    <mergeCell ref="O203:X203"/>
    <mergeCell ref="O204:X204"/>
    <mergeCell ref="A196:X196"/>
    <mergeCell ref="M203:N203"/>
    <mergeCell ref="M205:N205"/>
    <mergeCell ref="M206:N206"/>
    <mergeCell ref="M204:N204"/>
    <mergeCell ref="A188:K188"/>
    <mergeCell ref="A191:E191"/>
    <mergeCell ref="H191:K191"/>
    <mergeCell ref="A195:E195"/>
    <mergeCell ref="F195:G195"/>
    <mergeCell ref="P171:X171"/>
    <mergeCell ref="P174:X174"/>
    <mergeCell ref="P175:X175"/>
    <mergeCell ref="P176:X176"/>
    <mergeCell ref="B185:D185"/>
    <mergeCell ref="A168:A170"/>
    <mergeCell ref="B168:B170"/>
    <mergeCell ref="B156:C156"/>
    <mergeCell ref="A166:B166"/>
    <mergeCell ref="A167:X167"/>
    <mergeCell ref="I169:K169"/>
    <mergeCell ref="N179:O179"/>
    <mergeCell ref="N180:O180"/>
    <mergeCell ref="N181:O181"/>
    <mergeCell ref="AE207:AF207"/>
    <mergeCell ref="AE208:AF208"/>
    <mergeCell ref="M212:N212"/>
    <mergeCell ref="M214:N214"/>
    <mergeCell ref="M213:N213"/>
    <mergeCell ref="O208:X208"/>
    <mergeCell ref="O209:X209"/>
    <mergeCell ref="O214:X214"/>
    <mergeCell ref="O210:X210"/>
    <mergeCell ref="O211:X211"/>
    <mergeCell ref="AE203:AF203"/>
    <mergeCell ref="AE204:AF204"/>
    <mergeCell ref="AE205:AF205"/>
    <mergeCell ref="AE206:AF206"/>
    <mergeCell ref="M211:N211"/>
    <mergeCell ref="M209:N209"/>
    <mergeCell ref="M210:N210"/>
    <mergeCell ref="AE216:AF216"/>
    <mergeCell ref="AE211:AF211"/>
    <mergeCell ref="AE212:AF212"/>
    <mergeCell ref="M215:N215"/>
    <mergeCell ref="M216:N216"/>
    <mergeCell ref="O215:X215"/>
    <mergeCell ref="O216:X216"/>
    <mergeCell ref="P172:X172"/>
    <mergeCell ref="P173:X173"/>
    <mergeCell ref="M207:N207"/>
    <mergeCell ref="M208:N208"/>
    <mergeCell ref="N173:O173"/>
    <mergeCell ref="N174:O174"/>
    <mergeCell ref="N175:O175"/>
    <mergeCell ref="N176:O176"/>
    <mergeCell ref="N177:O177"/>
    <mergeCell ref="N178:O178"/>
    <mergeCell ref="P181:X181"/>
    <mergeCell ref="P182:X182"/>
    <mergeCell ref="AE213:AF213"/>
    <mergeCell ref="I168:K168"/>
    <mergeCell ref="N170:O170"/>
    <mergeCell ref="M169:O169"/>
    <mergeCell ref="M168:O168"/>
    <mergeCell ref="P168:X170"/>
    <mergeCell ref="N171:O171"/>
    <mergeCell ref="N172:O172"/>
    <mergeCell ref="P177:X177"/>
    <mergeCell ref="P178:X178"/>
    <mergeCell ref="P179:X179"/>
    <mergeCell ref="P180:X180"/>
    <mergeCell ref="P186:X186"/>
    <mergeCell ref="N184:O184"/>
    <mergeCell ref="N185:O185"/>
    <mergeCell ref="N186:O186"/>
    <mergeCell ref="P183:X183"/>
    <mergeCell ref="N183:O183"/>
    <mergeCell ref="P184:X184"/>
    <mergeCell ref="P185:X185"/>
  </mergeCells>
  <printOptions/>
  <pageMargins left="0.7874015748031497" right="0" top="0" bottom="0" header="0.5118110236220472" footer="0.5118110236220472"/>
  <pageSetup horizontalDpi="600" verticalDpi="600" orientation="portrait" paperSize="9" scale="75" r:id="rId3"/>
  <rowBreaks count="1" manualBreakCount="1">
    <brk id="195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6"/>
  <sheetViews>
    <sheetView zoomScalePageLayoutView="0" workbookViewId="0" topLeftCell="A137">
      <selection activeCell="E169" sqref="E169:E170"/>
    </sheetView>
  </sheetViews>
  <sheetFormatPr defaultColWidth="9.140625" defaultRowHeight="12.75"/>
  <cols>
    <col min="1" max="1" width="3.7109375" style="0" customWidth="1"/>
    <col min="2" max="2" width="21.7109375" style="119" customWidth="1"/>
    <col min="3" max="3" width="8.140625" style="138" customWidth="1"/>
    <col min="4" max="4" width="8.421875" style="119" customWidth="1"/>
    <col min="5" max="5" width="9.00390625" style="120" customWidth="1"/>
    <col min="6" max="6" width="8.57421875" style="120" customWidth="1"/>
    <col min="7" max="7" width="9.00390625" style="120" customWidth="1"/>
    <col min="8" max="8" width="8.421875" style="120" customWidth="1"/>
    <col min="9" max="9" width="7.421875" style="120" customWidth="1"/>
    <col min="10" max="10" width="9.00390625" style="120" customWidth="1"/>
    <col min="11" max="11" width="7.28125" style="120" customWidth="1"/>
    <col min="12" max="12" width="7.00390625" style="120" customWidth="1"/>
    <col min="13" max="14" width="6.8515625" style="119" customWidth="1"/>
    <col min="15" max="15" width="6.00390625" style="119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9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19" customWidth="1"/>
    <col min="24" max="24" width="9.8515625" style="49" customWidth="1"/>
    <col min="26" max="26" width="11.421875" style="0" customWidth="1"/>
  </cols>
  <sheetData>
    <row r="1" spans="1:23" ht="10.5" customHeight="1">
      <c r="A1" s="431" t="s">
        <v>208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24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</row>
    <row r="3" spans="1:23" ht="17.25" customHeight="1">
      <c r="A3" s="432" t="s">
        <v>209</v>
      </c>
      <c r="B3" s="432"/>
      <c r="C3" s="432"/>
      <c r="D3" s="432"/>
      <c r="E3" s="433" t="s">
        <v>210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</row>
    <row r="4" spans="1:23" ht="17.25" customHeight="1">
      <c r="A4" s="434" t="s">
        <v>0</v>
      </c>
      <c r="B4" s="434" t="s">
        <v>1</v>
      </c>
      <c r="C4" s="435" t="s">
        <v>2</v>
      </c>
      <c r="D4" s="434" t="s">
        <v>183</v>
      </c>
      <c r="E4" s="434"/>
      <c r="F4" s="436" t="s">
        <v>185</v>
      </c>
      <c r="G4" s="436"/>
      <c r="H4" s="436"/>
      <c r="I4" s="436"/>
      <c r="J4" s="436" t="s">
        <v>182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7" t="s">
        <v>3</v>
      </c>
    </row>
    <row r="5" spans="1:23" ht="26.25" customHeight="1">
      <c r="A5" s="434"/>
      <c r="B5" s="434"/>
      <c r="C5" s="435"/>
      <c r="D5" s="434" t="s">
        <v>184</v>
      </c>
      <c r="E5" s="436" t="s">
        <v>169</v>
      </c>
      <c r="F5" s="436" t="s">
        <v>192</v>
      </c>
      <c r="G5" s="434" t="s">
        <v>186</v>
      </c>
      <c r="H5" s="436" t="s">
        <v>216</v>
      </c>
      <c r="I5" s="436" t="s">
        <v>217</v>
      </c>
      <c r="J5" s="436" t="s">
        <v>4</v>
      </c>
      <c r="K5" s="436"/>
      <c r="L5" s="436" t="s">
        <v>8</v>
      </c>
      <c r="M5" s="436"/>
      <c r="N5" s="436" t="s">
        <v>9</v>
      </c>
      <c r="O5" s="434" t="s">
        <v>10</v>
      </c>
      <c r="P5" s="436" t="s">
        <v>5</v>
      </c>
      <c r="Q5" s="436"/>
      <c r="R5" s="436"/>
      <c r="S5" s="436"/>
      <c r="T5" s="436"/>
      <c r="U5" s="436"/>
      <c r="V5" s="436"/>
      <c r="W5" s="437"/>
    </row>
    <row r="6" spans="1:23" ht="39" customHeight="1">
      <c r="A6" s="434"/>
      <c r="B6" s="434"/>
      <c r="C6" s="435"/>
      <c r="D6" s="434"/>
      <c r="E6" s="436"/>
      <c r="F6" s="436"/>
      <c r="G6" s="434"/>
      <c r="H6" s="436"/>
      <c r="I6" s="436"/>
      <c r="J6" s="1" t="s">
        <v>11</v>
      </c>
      <c r="K6" s="2" t="s">
        <v>7</v>
      </c>
      <c r="L6" s="1" t="s">
        <v>11</v>
      </c>
      <c r="M6" s="2" t="s">
        <v>7</v>
      </c>
      <c r="N6" s="436"/>
      <c r="O6" s="434"/>
      <c r="P6" s="1" t="s">
        <v>6</v>
      </c>
      <c r="Q6" s="2" t="s">
        <v>12</v>
      </c>
      <c r="R6" s="1" t="s">
        <v>6</v>
      </c>
      <c r="S6" s="2" t="s">
        <v>13</v>
      </c>
      <c r="T6" s="2" t="s">
        <v>12</v>
      </c>
      <c r="U6" s="1" t="s">
        <v>14</v>
      </c>
      <c r="V6" s="2" t="s">
        <v>10</v>
      </c>
      <c r="W6" s="437"/>
    </row>
    <row r="7" spans="1:24" s="152" customFormat="1" ht="11.25" customHeight="1">
      <c r="A7" s="148">
        <v>1</v>
      </c>
      <c r="B7" s="148">
        <v>2</v>
      </c>
      <c r="C7" s="148">
        <v>3</v>
      </c>
      <c r="D7" s="148">
        <v>4</v>
      </c>
      <c r="E7" s="153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  <c r="L7" s="148">
        <v>12</v>
      </c>
      <c r="M7" s="154">
        <v>13</v>
      </c>
      <c r="N7" s="148">
        <v>14</v>
      </c>
      <c r="O7" s="148">
        <v>15</v>
      </c>
      <c r="P7" s="148">
        <v>16</v>
      </c>
      <c r="Q7" s="148">
        <v>17</v>
      </c>
      <c r="R7" s="148">
        <v>18</v>
      </c>
      <c r="S7" s="148">
        <v>19</v>
      </c>
      <c r="T7" s="148">
        <v>20</v>
      </c>
      <c r="U7" s="148">
        <v>21</v>
      </c>
      <c r="V7" s="148">
        <v>22</v>
      </c>
      <c r="W7" s="148">
        <v>16</v>
      </c>
      <c r="X7" s="151"/>
    </row>
    <row r="8" spans="1:27" ht="16.5" customHeight="1">
      <c r="A8" s="51">
        <v>1</v>
      </c>
      <c r="B8" s="52" t="s">
        <v>15</v>
      </c>
      <c r="C8" s="163" t="s">
        <v>16</v>
      </c>
      <c r="D8" s="216">
        <f>D9+D10+D11+D12+D13+D14+D15+D16</f>
        <v>0</v>
      </c>
      <c r="E8" s="216">
        <f aca="true" t="shared" si="0" ref="E8:M8">E9+E10+E11+E12+E13+E14+E15+E16</f>
        <v>0</v>
      </c>
      <c r="F8" s="216">
        <f t="shared" si="0"/>
        <v>0</v>
      </c>
      <c r="G8" s="216">
        <f t="shared" si="0"/>
        <v>0</v>
      </c>
      <c r="H8" s="352">
        <v>181715.544037467</v>
      </c>
      <c r="I8" s="216">
        <f t="shared" si="0"/>
        <v>0</v>
      </c>
      <c r="J8" s="216">
        <f t="shared" si="0"/>
        <v>186.6</v>
      </c>
      <c r="K8" s="216">
        <f t="shared" si="0"/>
        <v>0</v>
      </c>
      <c r="L8" s="216">
        <f>K8/(I8+1E-133)*100-100</f>
        <v>-100</v>
      </c>
      <c r="M8" s="216">
        <f t="shared" si="0"/>
        <v>0</v>
      </c>
      <c r="N8" s="216">
        <f aca="true" t="shared" si="1" ref="N8:N71">M8/(I8+1E-106)*100-100</f>
        <v>-100</v>
      </c>
      <c r="O8" s="216">
        <f aca="true" t="shared" si="2" ref="O8:O17">M8-K8</f>
        <v>0</v>
      </c>
      <c r="P8" s="216"/>
      <c r="Q8" s="5">
        <f>Q9+Q10+Q11+Q12+Q13+Q14+Q15+Q16</f>
        <v>0</v>
      </c>
      <c r="R8" s="7">
        <f aca="true" t="shared" si="3" ref="R8:R23">Q8/(F8+1E-106)*100-100</f>
        <v>-100</v>
      </c>
      <c r="S8" s="5">
        <f>S9+S10+S11+S12+S13+S14+S15+S16</f>
        <v>0</v>
      </c>
      <c r="T8" s="8">
        <f>S8/(Q8+1E-106)*100-100</f>
        <v>-100</v>
      </c>
      <c r="U8" s="8">
        <f aca="true" t="shared" si="4" ref="U8:U23">S8/(F8+1E-106)*100-100</f>
        <v>-100</v>
      </c>
      <c r="V8" s="9">
        <f aca="true" t="shared" si="5" ref="V8:V23">S8-K8</f>
        <v>0</v>
      </c>
      <c r="W8" s="8"/>
      <c r="X8" s="522" t="s">
        <v>218</v>
      </c>
      <c r="Y8" s="157"/>
      <c r="Z8" s="10"/>
      <c r="AA8" s="11"/>
    </row>
    <row r="9" spans="1:27" ht="12.75" customHeight="1">
      <c r="A9" s="12"/>
      <c r="B9" s="13" t="s">
        <v>17</v>
      </c>
      <c r="C9" s="40" t="s">
        <v>16</v>
      </c>
      <c r="D9" s="141"/>
      <c r="E9" s="229"/>
      <c r="F9" s="141"/>
      <c r="G9" s="217"/>
      <c r="H9" s="353">
        <v>173967.746676087</v>
      </c>
      <c r="I9" s="141"/>
      <c r="J9" s="217">
        <v>186.6</v>
      </c>
      <c r="K9" s="217"/>
      <c r="L9" s="223">
        <f aca="true" t="shared" si="6" ref="L9:L74">K9/(I9+1E-133)*100-100</f>
        <v>-100</v>
      </c>
      <c r="M9" s="218"/>
      <c r="N9" s="223">
        <f t="shared" si="1"/>
        <v>-100</v>
      </c>
      <c r="O9" s="223">
        <f t="shared" si="2"/>
        <v>0</v>
      </c>
      <c r="P9" s="217"/>
      <c r="Q9" s="15">
        <f>F9</f>
        <v>0</v>
      </c>
      <c r="R9" s="16">
        <f t="shared" si="3"/>
        <v>-100</v>
      </c>
      <c r="S9" s="15">
        <f>Q9</f>
        <v>0</v>
      </c>
      <c r="T9" s="17">
        <f aca="true" t="shared" si="7" ref="T9:T72">S9/(Q9+1E-106)*100-100</f>
        <v>-100</v>
      </c>
      <c r="U9" s="17">
        <f t="shared" si="4"/>
        <v>-100</v>
      </c>
      <c r="V9" s="16">
        <f t="shared" si="5"/>
        <v>0</v>
      </c>
      <c r="W9" s="16"/>
      <c r="X9" s="522"/>
      <c r="Y9" s="157"/>
      <c r="Z9" s="10"/>
      <c r="AA9" s="11"/>
    </row>
    <row r="10" spans="1:27" ht="12.75" customHeight="1" hidden="1">
      <c r="A10" s="12"/>
      <c r="B10" s="13" t="s">
        <v>18</v>
      </c>
      <c r="C10" s="40" t="s">
        <v>16</v>
      </c>
      <c r="D10" s="141"/>
      <c r="E10" s="229"/>
      <c r="F10" s="141"/>
      <c r="G10" s="217"/>
      <c r="H10" s="353">
        <v>7330.19838458</v>
      </c>
      <c r="I10" s="141"/>
      <c r="J10" s="217"/>
      <c r="K10" s="217"/>
      <c r="L10" s="223">
        <f t="shared" si="6"/>
        <v>-100</v>
      </c>
      <c r="M10" s="141"/>
      <c r="N10" s="223">
        <f t="shared" si="1"/>
        <v>-100</v>
      </c>
      <c r="O10" s="223">
        <f t="shared" si="2"/>
        <v>0</v>
      </c>
      <c r="P10" s="217"/>
      <c r="Q10" s="18"/>
      <c r="R10" s="16">
        <f t="shared" si="3"/>
        <v>-100</v>
      </c>
      <c r="S10" s="18"/>
      <c r="T10" s="17">
        <f t="shared" si="7"/>
        <v>-100</v>
      </c>
      <c r="U10" s="17">
        <f t="shared" si="4"/>
        <v>-100</v>
      </c>
      <c r="V10" s="16">
        <f t="shared" si="5"/>
        <v>0</v>
      </c>
      <c r="W10" s="16"/>
      <c r="X10" s="522"/>
      <c r="Y10" s="157"/>
      <c r="Z10" s="10"/>
      <c r="AA10" s="11"/>
    </row>
    <row r="11" spans="1:27" ht="12.75" customHeight="1" hidden="1">
      <c r="A11" s="12"/>
      <c r="B11" s="13" t="s">
        <v>19</v>
      </c>
      <c r="C11" s="40" t="s">
        <v>16</v>
      </c>
      <c r="D11" s="141"/>
      <c r="E11" s="229"/>
      <c r="F11" s="141"/>
      <c r="G11" s="217"/>
      <c r="H11" s="353"/>
      <c r="I11" s="141"/>
      <c r="J11" s="217"/>
      <c r="K11" s="217"/>
      <c r="L11" s="223">
        <f t="shared" si="6"/>
        <v>-100</v>
      </c>
      <c r="M11" s="141"/>
      <c r="N11" s="223">
        <f t="shared" si="1"/>
        <v>-100</v>
      </c>
      <c r="O11" s="223">
        <f t="shared" si="2"/>
        <v>0</v>
      </c>
      <c r="P11" s="217"/>
      <c r="Q11" s="18"/>
      <c r="R11" s="16">
        <f t="shared" si="3"/>
        <v>-100</v>
      </c>
      <c r="S11" s="18"/>
      <c r="T11" s="17">
        <f t="shared" si="7"/>
        <v>-100</v>
      </c>
      <c r="U11" s="17">
        <f t="shared" si="4"/>
        <v>-100</v>
      </c>
      <c r="V11" s="16">
        <f t="shared" si="5"/>
        <v>0</v>
      </c>
      <c r="W11" s="16"/>
      <c r="X11" s="19"/>
      <c r="Y11" s="157"/>
      <c r="Z11" s="10"/>
      <c r="AA11" s="11"/>
    </row>
    <row r="12" spans="1:27" ht="12.75" customHeight="1" hidden="1">
      <c r="A12" s="12"/>
      <c r="B12" s="13" t="s">
        <v>20</v>
      </c>
      <c r="C12" s="40" t="s">
        <v>16</v>
      </c>
      <c r="D12" s="141"/>
      <c r="E12" s="229"/>
      <c r="F12" s="141"/>
      <c r="G12" s="217"/>
      <c r="H12" s="353">
        <v>417.59897680000006</v>
      </c>
      <c r="I12" s="141"/>
      <c r="J12" s="217"/>
      <c r="K12" s="217"/>
      <c r="L12" s="223">
        <f t="shared" si="6"/>
        <v>-100</v>
      </c>
      <c r="M12" s="141"/>
      <c r="N12" s="223">
        <f t="shared" si="1"/>
        <v>-100</v>
      </c>
      <c r="O12" s="223">
        <f t="shared" si="2"/>
        <v>0</v>
      </c>
      <c r="P12" s="217"/>
      <c r="Q12" s="18"/>
      <c r="R12" s="16">
        <f t="shared" si="3"/>
        <v>-100</v>
      </c>
      <c r="S12" s="18"/>
      <c r="T12" s="17">
        <f t="shared" si="7"/>
        <v>-100</v>
      </c>
      <c r="U12" s="17">
        <f t="shared" si="4"/>
        <v>-100</v>
      </c>
      <c r="V12" s="16">
        <f t="shared" si="5"/>
        <v>0</v>
      </c>
      <c r="W12" s="16"/>
      <c r="X12" s="19"/>
      <c r="Y12" s="157"/>
      <c r="Z12" s="10"/>
      <c r="AA12" s="11"/>
    </row>
    <row r="13" spans="1:27" ht="12.75" customHeight="1" hidden="1">
      <c r="A13" s="12"/>
      <c r="B13" s="13" t="s">
        <v>21</v>
      </c>
      <c r="C13" s="40" t="s">
        <v>16</v>
      </c>
      <c r="D13" s="141"/>
      <c r="E13" s="229"/>
      <c r="F13" s="141"/>
      <c r="G13" s="217"/>
      <c r="H13" s="353"/>
      <c r="I13" s="141"/>
      <c r="J13" s="217"/>
      <c r="K13" s="217"/>
      <c r="L13" s="223">
        <f t="shared" si="6"/>
        <v>-100</v>
      </c>
      <c r="M13" s="141"/>
      <c r="N13" s="223">
        <f t="shared" si="1"/>
        <v>-100</v>
      </c>
      <c r="O13" s="223">
        <f t="shared" si="2"/>
        <v>0</v>
      </c>
      <c r="P13" s="217"/>
      <c r="Q13" s="18"/>
      <c r="R13" s="16">
        <f t="shared" si="3"/>
        <v>-100</v>
      </c>
      <c r="S13" s="18"/>
      <c r="T13" s="17">
        <f t="shared" si="7"/>
        <v>-100</v>
      </c>
      <c r="U13" s="17">
        <f t="shared" si="4"/>
        <v>-100</v>
      </c>
      <c r="V13" s="16">
        <f t="shared" si="5"/>
        <v>0</v>
      </c>
      <c r="W13" s="16"/>
      <c r="X13" s="19"/>
      <c r="Y13" s="157"/>
      <c r="Z13" s="10"/>
      <c r="AA13" s="11"/>
    </row>
    <row r="14" spans="1:27" ht="12.75" customHeight="1" hidden="1">
      <c r="A14" s="12"/>
      <c r="B14" s="13" t="s">
        <v>22</v>
      </c>
      <c r="C14" s="40" t="s">
        <v>16</v>
      </c>
      <c r="D14" s="141"/>
      <c r="E14" s="229"/>
      <c r="F14" s="141"/>
      <c r="G14" s="217"/>
      <c r="H14" s="353"/>
      <c r="I14" s="141"/>
      <c r="J14" s="217"/>
      <c r="K14" s="217"/>
      <c r="L14" s="223">
        <f t="shared" si="6"/>
        <v>-100</v>
      </c>
      <c r="M14" s="141"/>
      <c r="N14" s="223">
        <f t="shared" si="1"/>
        <v>-100</v>
      </c>
      <c r="O14" s="223">
        <f t="shared" si="2"/>
        <v>0</v>
      </c>
      <c r="P14" s="217"/>
      <c r="Q14" s="18"/>
      <c r="R14" s="16">
        <f t="shared" si="3"/>
        <v>-100</v>
      </c>
      <c r="S14" s="18"/>
      <c r="T14" s="17">
        <f t="shared" si="7"/>
        <v>-100</v>
      </c>
      <c r="U14" s="17">
        <f t="shared" si="4"/>
        <v>-100</v>
      </c>
      <c r="V14" s="16">
        <f t="shared" si="5"/>
        <v>0</v>
      </c>
      <c r="W14" s="16"/>
      <c r="X14" s="19"/>
      <c r="Y14" s="157"/>
      <c r="Z14" s="10"/>
      <c r="AA14" s="11"/>
    </row>
    <row r="15" spans="1:27" ht="12.75" customHeight="1" hidden="1">
      <c r="A15" s="12"/>
      <c r="B15" s="13" t="s">
        <v>23</v>
      </c>
      <c r="C15" s="40" t="s">
        <v>16</v>
      </c>
      <c r="D15" s="141"/>
      <c r="E15" s="229"/>
      <c r="F15" s="141"/>
      <c r="G15" s="217"/>
      <c r="H15" s="353"/>
      <c r="I15" s="141"/>
      <c r="J15" s="217"/>
      <c r="K15" s="217"/>
      <c r="L15" s="223">
        <f t="shared" si="6"/>
        <v>-100</v>
      </c>
      <c r="M15" s="141"/>
      <c r="N15" s="223">
        <f t="shared" si="1"/>
        <v>-100</v>
      </c>
      <c r="O15" s="223">
        <f t="shared" si="2"/>
        <v>0</v>
      </c>
      <c r="P15" s="217"/>
      <c r="Q15" s="18"/>
      <c r="R15" s="16">
        <f t="shared" si="3"/>
        <v>-100</v>
      </c>
      <c r="S15" s="18"/>
      <c r="T15" s="17">
        <f t="shared" si="7"/>
        <v>-100</v>
      </c>
      <c r="U15" s="17">
        <f t="shared" si="4"/>
        <v>-100</v>
      </c>
      <c r="V15" s="16">
        <f t="shared" si="5"/>
        <v>0</v>
      </c>
      <c r="W15" s="16"/>
      <c r="X15" s="19"/>
      <c r="Y15" s="157"/>
      <c r="Z15" s="10"/>
      <c r="AA15" s="11"/>
    </row>
    <row r="16" spans="1:27" ht="12.75" customHeight="1" hidden="1">
      <c r="A16" s="12"/>
      <c r="B16" s="13" t="s">
        <v>24</v>
      </c>
      <c r="C16" s="40" t="s">
        <v>16</v>
      </c>
      <c r="D16" s="141"/>
      <c r="E16" s="229"/>
      <c r="F16" s="141"/>
      <c r="G16" s="217"/>
      <c r="H16" s="353"/>
      <c r="I16" s="141"/>
      <c r="J16" s="217"/>
      <c r="K16" s="217"/>
      <c r="L16" s="223">
        <f t="shared" si="6"/>
        <v>-100</v>
      </c>
      <c r="M16" s="141"/>
      <c r="N16" s="223">
        <f t="shared" si="1"/>
        <v>-100</v>
      </c>
      <c r="O16" s="223">
        <f t="shared" si="2"/>
        <v>0</v>
      </c>
      <c r="P16" s="217"/>
      <c r="Q16" s="18"/>
      <c r="R16" s="16">
        <f t="shared" si="3"/>
        <v>-100</v>
      </c>
      <c r="S16" s="18"/>
      <c r="T16" s="17">
        <f t="shared" si="7"/>
        <v>-100</v>
      </c>
      <c r="U16" s="17">
        <f t="shared" si="4"/>
        <v>-100</v>
      </c>
      <c r="V16" s="16">
        <f t="shared" si="5"/>
        <v>0</v>
      </c>
      <c r="W16" s="16"/>
      <c r="X16" s="19"/>
      <c r="Y16" s="157"/>
      <c r="Z16" s="10"/>
      <c r="AA16" s="11"/>
    </row>
    <row r="17" spans="1:27" ht="12.75" customHeight="1">
      <c r="A17" s="3">
        <v>2</v>
      </c>
      <c r="B17" s="13" t="s">
        <v>25</v>
      </c>
      <c r="C17" s="40" t="s">
        <v>16</v>
      </c>
      <c r="D17" s="141"/>
      <c r="E17" s="229"/>
      <c r="F17" s="141"/>
      <c r="G17" s="217"/>
      <c r="H17" s="353">
        <v>3712.5000000000005</v>
      </c>
      <c r="I17" s="141"/>
      <c r="J17" s="217">
        <v>5.4</v>
      </c>
      <c r="K17" s="217"/>
      <c r="L17" s="223">
        <f t="shared" si="6"/>
        <v>-100</v>
      </c>
      <c r="M17" s="218"/>
      <c r="N17" s="223">
        <f t="shared" si="1"/>
        <v>-100</v>
      </c>
      <c r="O17" s="223">
        <f t="shared" si="2"/>
        <v>0</v>
      </c>
      <c r="P17" s="217"/>
      <c r="Q17" s="15">
        <f>F17</f>
        <v>0</v>
      </c>
      <c r="R17" s="16">
        <f t="shared" si="3"/>
        <v>-100</v>
      </c>
      <c r="S17" s="15">
        <f>F17</f>
        <v>0</v>
      </c>
      <c r="T17" s="17">
        <f t="shared" si="7"/>
        <v>-100</v>
      </c>
      <c r="U17" s="17">
        <f t="shared" si="4"/>
        <v>-100</v>
      </c>
      <c r="V17" s="16">
        <f t="shared" si="5"/>
        <v>0</v>
      </c>
      <c r="W17" s="16"/>
      <c r="X17" s="19"/>
      <c r="Y17" s="157"/>
      <c r="Z17" s="10"/>
      <c r="AA17" s="11"/>
    </row>
    <row r="18" spans="1:27" ht="12.75" customHeight="1">
      <c r="A18" s="12"/>
      <c r="B18" s="13" t="s">
        <v>25</v>
      </c>
      <c r="C18" s="40" t="s">
        <v>26</v>
      </c>
      <c r="D18" s="219">
        <f aca="true" t="shared" si="8" ref="D18:K18">D17/(D8+1E-124)*100</f>
        <v>0</v>
      </c>
      <c r="E18" s="214">
        <f t="shared" si="8"/>
        <v>0</v>
      </c>
      <c r="F18" s="219">
        <f>F17/(F8+1E-124)*100</f>
        <v>0</v>
      </c>
      <c r="G18" s="214">
        <f t="shared" si="8"/>
        <v>0</v>
      </c>
      <c r="H18" s="354">
        <v>2.043028305401622</v>
      </c>
      <c r="I18" s="219">
        <f t="shared" si="8"/>
        <v>0</v>
      </c>
      <c r="J18" s="214">
        <f t="shared" si="8"/>
        <v>2.893890675241158</v>
      </c>
      <c r="K18" s="214">
        <f t="shared" si="8"/>
        <v>0</v>
      </c>
      <c r="L18" s="223">
        <f t="shared" si="6"/>
        <v>-100</v>
      </c>
      <c r="M18" s="219">
        <f>M17/(M8+1E-124)*100</f>
        <v>0</v>
      </c>
      <c r="N18" s="223">
        <f t="shared" si="1"/>
        <v>-100</v>
      </c>
      <c r="O18" s="223"/>
      <c r="P18" s="223"/>
      <c r="Q18" s="20">
        <f>Q17/(Q8+1E-124)*100</f>
        <v>0</v>
      </c>
      <c r="R18" s="16">
        <f t="shared" si="3"/>
        <v>-100</v>
      </c>
      <c r="S18" s="20">
        <f>S17/(S8+1E-124)*100</f>
        <v>0</v>
      </c>
      <c r="T18" s="17">
        <f t="shared" si="7"/>
        <v>-100</v>
      </c>
      <c r="U18" s="17">
        <f t="shared" si="4"/>
        <v>-100</v>
      </c>
      <c r="V18" s="16">
        <f t="shared" si="5"/>
        <v>0</v>
      </c>
      <c r="W18" s="16"/>
      <c r="X18" s="19"/>
      <c r="Y18" s="49"/>
      <c r="Z18" s="21"/>
      <c r="AA18" s="22"/>
    </row>
    <row r="19" spans="1:27" ht="14.25" customHeight="1">
      <c r="A19" s="3">
        <v>3</v>
      </c>
      <c r="B19" s="4" t="s">
        <v>178</v>
      </c>
      <c r="C19" s="40" t="s">
        <v>16</v>
      </c>
      <c r="D19" s="220"/>
      <c r="E19" s="220"/>
      <c r="F19" s="220"/>
      <c r="G19" s="220"/>
      <c r="H19" s="355"/>
      <c r="I19" s="220"/>
      <c r="J19" s="220"/>
      <c r="K19" s="220"/>
      <c r="L19" s="219">
        <f t="shared" si="6"/>
        <v>-100</v>
      </c>
      <c r="M19" s="221"/>
      <c r="N19" s="223">
        <f t="shared" si="1"/>
        <v>-100</v>
      </c>
      <c r="O19" s="227">
        <f>M19-K19</f>
        <v>0</v>
      </c>
      <c r="P19" s="227"/>
      <c r="Q19" s="24"/>
      <c r="R19" s="16">
        <f t="shared" si="3"/>
        <v>-100</v>
      </c>
      <c r="S19" s="24"/>
      <c r="T19" s="8">
        <f t="shared" si="7"/>
        <v>-100</v>
      </c>
      <c r="U19" s="8">
        <f t="shared" si="4"/>
        <v>-100</v>
      </c>
      <c r="V19" s="9">
        <f t="shared" si="5"/>
        <v>0</v>
      </c>
      <c r="W19" s="16"/>
      <c r="X19" s="522" t="s">
        <v>206</v>
      </c>
      <c r="Y19" s="49"/>
      <c r="Z19" s="21"/>
      <c r="AA19" s="22"/>
    </row>
    <row r="20" spans="1:27" ht="12.75" customHeight="1">
      <c r="A20" s="3">
        <v>4</v>
      </c>
      <c r="B20" s="4" t="s">
        <v>27</v>
      </c>
      <c r="C20" s="40" t="s">
        <v>16</v>
      </c>
      <c r="D20" s="216">
        <f>D8-D17+D19</f>
        <v>0</v>
      </c>
      <c r="E20" s="224">
        <f aca="true" t="shared" si="9" ref="E20:K20">E8-E17+E19</f>
        <v>0</v>
      </c>
      <c r="F20" s="216">
        <f>F8-F17+F19</f>
        <v>0</v>
      </c>
      <c r="G20" s="224">
        <f t="shared" si="9"/>
        <v>0</v>
      </c>
      <c r="H20" s="352">
        <v>178003.044037467</v>
      </c>
      <c r="I20" s="216">
        <f t="shared" si="9"/>
        <v>0</v>
      </c>
      <c r="J20" s="224">
        <f t="shared" si="9"/>
        <v>181.2</v>
      </c>
      <c r="K20" s="224">
        <f t="shared" si="9"/>
        <v>0</v>
      </c>
      <c r="L20" s="223">
        <f t="shared" si="6"/>
        <v>-100</v>
      </c>
      <c r="M20" s="216">
        <f>M8-M17+M19</f>
        <v>0</v>
      </c>
      <c r="N20" s="223">
        <f t="shared" si="1"/>
        <v>-100</v>
      </c>
      <c r="O20" s="227">
        <f>M20-K20</f>
        <v>0</v>
      </c>
      <c r="P20" s="227"/>
      <c r="Q20" s="5">
        <f>Q8-Q17+Q19</f>
        <v>0</v>
      </c>
      <c r="R20" s="16">
        <f t="shared" si="3"/>
        <v>-100</v>
      </c>
      <c r="S20" s="5">
        <f>S8-S17+S19</f>
        <v>0</v>
      </c>
      <c r="T20" s="8">
        <f t="shared" si="7"/>
        <v>-100</v>
      </c>
      <c r="U20" s="8">
        <f t="shared" si="4"/>
        <v>-100</v>
      </c>
      <c r="V20" s="9">
        <f t="shared" si="5"/>
        <v>0</v>
      </c>
      <c r="W20" s="8"/>
      <c r="X20" s="522"/>
      <c r="Y20" s="49"/>
      <c r="Z20" s="21"/>
      <c r="AA20" s="22"/>
    </row>
    <row r="21" spans="1:27" ht="12.75" customHeight="1">
      <c r="A21" s="3">
        <v>5</v>
      </c>
      <c r="B21" s="13" t="s">
        <v>28</v>
      </c>
      <c r="C21" s="40" t="s">
        <v>16</v>
      </c>
      <c r="D21" s="219">
        <f aca="true" t="shared" si="10" ref="D21:J21">D20-D23</f>
        <v>0</v>
      </c>
      <c r="E21" s="214">
        <f t="shared" si="10"/>
        <v>0</v>
      </c>
      <c r="F21" s="219">
        <f t="shared" si="10"/>
        <v>0</v>
      </c>
      <c r="G21" s="214">
        <f t="shared" si="10"/>
        <v>0</v>
      </c>
      <c r="H21" s="354">
        <v>21923.30244</v>
      </c>
      <c r="I21" s="219">
        <f t="shared" si="10"/>
        <v>0</v>
      </c>
      <c r="J21" s="214">
        <f t="shared" si="10"/>
        <v>0</v>
      </c>
      <c r="K21" s="214"/>
      <c r="L21" s="223">
        <f t="shared" si="6"/>
        <v>-100</v>
      </c>
      <c r="M21" s="214">
        <f>M20-M23</f>
        <v>-181.19904000000002</v>
      </c>
      <c r="N21" s="223">
        <f t="shared" si="1"/>
        <v>-1.8119904000000006E+110</v>
      </c>
      <c r="O21" s="223">
        <f>M21-K21</f>
        <v>-181.19904000000002</v>
      </c>
      <c r="P21" s="223"/>
      <c r="Q21" s="15">
        <v>0</v>
      </c>
      <c r="R21" s="16">
        <f t="shared" si="3"/>
        <v>-100</v>
      </c>
      <c r="S21" s="15">
        <v>0</v>
      </c>
      <c r="T21" s="17">
        <f t="shared" si="7"/>
        <v>-100</v>
      </c>
      <c r="U21" s="17">
        <f t="shared" si="4"/>
        <v>-100</v>
      </c>
      <c r="V21" s="16">
        <f t="shared" si="5"/>
        <v>0</v>
      </c>
      <c r="W21" s="16"/>
      <c r="X21" s="522"/>
      <c r="Y21" s="49"/>
      <c r="Z21" s="21"/>
      <c r="AA21" s="22"/>
    </row>
    <row r="22" spans="1:27" ht="12.75" customHeight="1">
      <c r="A22" s="12"/>
      <c r="B22" s="13" t="s">
        <v>28</v>
      </c>
      <c r="C22" s="40" t="s">
        <v>26</v>
      </c>
      <c r="D22" s="219">
        <f aca="true" t="shared" si="11" ref="D22:K22">D21/(D20+1E-144)*100</f>
        <v>0</v>
      </c>
      <c r="E22" s="214">
        <f t="shared" si="11"/>
        <v>0</v>
      </c>
      <c r="F22" s="219">
        <f t="shared" si="11"/>
        <v>0</v>
      </c>
      <c r="G22" s="214">
        <f t="shared" si="11"/>
        <v>0</v>
      </c>
      <c r="H22" s="354">
        <v>12.31625142061361</v>
      </c>
      <c r="I22" s="219">
        <f t="shared" si="11"/>
        <v>0</v>
      </c>
      <c r="J22" s="214">
        <f t="shared" si="11"/>
        <v>0</v>
      </c>
      <c r="K22" s="214">
        <f t="shared" si="11"/>
        <v>0</v>
      </c>
      <c r="L22" s="223">
        <f t="shared" si="6"/>
        <v>-100</v>
      </c>
      <c r="M22" s="214">
        <f>M21/(M20+1E-144)*100</f>
        <v>-1.8119904000000002E+148</v>
      </c>
      <c r="N22" s="223">
        <f t="shared" si="1"/>
        <v>-1.8119904000000004E+256</v>
      </c>
      <c r="O22" s="223"/>
      <c r="P22" s="223"/>
      <c r="Q22" s="20">
        <f>Q21/(Q20+1E-144)*100</f>
        <v>0</v>
      </c>
      <c r="R22" s="16">
        <f t="shared" si="3"/>
        <v>-100</v>
      </c>
      <c r="S22" s="20">
        <f>S21/(S20+1E-144)*100</f>
        <v>0</v>
      </c>
      <c r="T22" s="17">
        <f t="shared" si="7"/>
        <v>-100</v>
      </c>
      <c r="U22" s="17">
        <f t="shared" si="4"/>
        <v>-100</v>
      </c>
      <c r="V22" s="16">
        <f t="shared" si="5"/>
        <v>0</v>
      </c>
      <c r="W22" s="16"/>
      <c r="X22" s="522"/>
      <c r="Y22" s="49"/>
      <c r="Z22" s="21"/>
      <c r="AA22" s="22"/>
    </row>
    <row r="23" spans="1:27" ht="16.5" customHeight="1">
      <c r="A23" s="51">
        <v>6</v>
      </c>
      <c r="B23" s="52" t="s">
        <v>29</v>
      </c>
      <c r="C23" s="163" t="s">
        <v>16</v>
      </c>
      <c r="D23" s="216">
        <f>C183</f>
        <v>0</v>
      </c>
      <c r="E23" s="216">
        <f>D183</f>
        <v>0</v>
      </c>
      <c r="F23" s="216">
        <f>F183</f>
        <v>0</v>
      </c>
      <c r="G23" s="216">
        <f>G183</f>
        <v>0</v>
      </c>
      <c r="H23" s="352">
        <v>156079.74159746701</v>
      </c>
      <c r="I23" s="216">
        <f>H183</f>
        <v>0</v>
      </c>
      <c r="J23" s="216">
        <v>181.2</v>
      </c>
      <c r="K23" s="216"/>
      <c r="L23" s="219">
        <f t="shared" si="6"/>
        <v>-100</v>
      </c>
      <c r="M23" s="222">
        <f>M183</f>
        <v>181.19904000000002</v>
      </c>
      <c r="N23" s="219">
        <f t="shared" si="1"/>
        <v>1.8119904000000006E+110</v>
      </c>
      <c r="O23" s="216">
        <f>M23-K23</f>
        <v>181.19904000000002</v>
      </c>
      <c r="P23" s="216"/>
      <c r="Q23" s="164">
        <f>K183</f>
        <v>1006.4214541185299</v>
      </c>
      <c r="R23" s="164">
        <f t="shared" si="3"/>
        <v>1.00642145411853E+111</v>
      </c>
      <c r="S23" s="164">
        <f>Q23</f>
        <v>1006.4214541185299</v>
      </c>
      <c r="T23" s="54">
        <f t="shared" si="7"/>
        <v>0</v>
      </c>
      <c r="U23" s="54">
        <f t="shared" si="4"/>
        <v>1.00642145411853E+111</v>
      </c>
      <c r="V23" s="55">
        <f t="shared" si="5"/>
        <v>1006.4214541185299</v>
      </c>
      <c r="W23" s="54"/>
      <c r="X23" s="356"/>
      <c r="Y23" s="49"/>
      <c r="Z23" s="21"/>
      <c r="AA23" s="22"/>
    </row>
    <row r="24" spans="1:27" ht="12" customHeight="1">
      <c r="A24" s="305">
        <v>7</v>
      </c>
      <c r="B24" s="4" t="s">
        <v>30</v>
      </c>
      <c r="C24" s="40"/>
      <c r="D24" s="219"/>
      <c r="E24" s="214"/>
      <c r="F24" s="219"/>
      <c r="G24" s="214"/>
      <c r="H24" s="354"/>
      <c r="I24" s="219"/>
      <c r="J24" s="224"/>
      <c r="K24" s="214"/>
      <c r="L24" s="223"/>
      <c r="M24" s="219"/>
      <c r="N24" s="223"/>
      <c r="O24" s="223"/>
      <c r="P24" s="223"/>
      <c r="Q24" s="306"/>
      <c r="R24" s="307"/>
      <c r="S24" s="306"/>
      <c r="T24" s="308"/>
      <c r="U24" s="308"/>
      <c r="V24" s="309"/>
      <c r="W24" s="307"/>
      <c r="X24" s="357"/>
      <c r="Y24" s="49"/>
      <c r="Z24" s="21"/>
      <c r="AA24" s="22"/>
    </row>
    <row r="25" spans="1:27" ht="12" customHeight="1">
      <c r="A25" s="305"/>
      <c r="B25" s="4"/>
      <c r="C25" s="40"/>
      <c r="D25" s="219"/>
      <c r="E25" s="214"/>
      <c r="F25" s="219"/>
      <c r="G25" s="214"/>
      <c r="H25" s="354"/>
      <c r="I25" s="219"/>
      <c r="J25" s="224"/>
      <c r="K25" s="214"/>
      <c r="L25" s="223"/>
      <c r="M25" s="219"/>
      <c r="N25" s="223"/>
      <c r="O25" s="223"/>
      <c r="P25" s="223"/>
      <c r="Q25" s="306"/>
      <c r="R25" s="307"/>
      <c r="S25" s="306"/>
      <c r="T25" s="308"/>
      <c r="U25" s="308"/>
      <c r="V25" s="309"/>
      <c r="W25" s="307"/>
      <c r="X25" s="357"/>
      <c r="Y25" s="49"/>
      <c r="Z25" s="21"/>
      <c r="AA25" s="22"/>
    </row>
    <row r="26" spans="1:27" ht="12" customHeight="1">
      <c r="A26" s="305"/>
      <c r="B26" s="4"/>
      <c r="C26" s="40"/>
      <c r="D26" s="219"/>
      <c r="E26" s="214"/>
      <c r="F26" s="219"/>
      <c r="G26" s="214"/>
      <c r="H26" s="354"/>
      <c r="I26" s="219"/>
      <c r="J26" s="224"/>
      <c r="K26" s="214"/>
      <c r="L26" s="223"/>
      <c r="M26" s="219"/>
      <c r="N26" s="223"/>
      <c r="O26" s="223"/>
      <c r="P26" s="223"/>
      <c r="Q26" s="306"/>
      <c r="R26" s="307"/>
      <c r="S26" s="306"/>
      <c r="T26" s="308"/>
      <c r="U26" s="308"/>
      <c r="V26" s="309"/>
      <c r="W26" s="307"/>
      <c r="X26" s="357"/>
      <c r="Y26" s="49"/>
      <c r="Z26" s="21"/>
      <c r="AA26" s="22"/>
    </row>
    <row r="27" spans="1:27" ht="12" customHeight="1">
      <c r="A27" s="310" t="s">
        <v>31</v>
      </c>
      <c r="B27" s="4" t="s">
        <v>32</v>
      </c>
      <c r="C27" s="40"/>
      <c r="D27" s="219"/>
      <c r="E27" s="214"/>
      <c r="F27" s="219"/>
      <c r="G27" s="214"/>
      <c r="H27" s="354"/>
      <c r="I27" s="219"/>
      <c r="J27" s="224"/>
      <c r="K27" s="214"/>
      <c r="L27" s="223"/>
      <c r="M27" s="219"/>
      <c r="N27" s="223"/>
      <c r="O27" s="223"/>
      <c r="P27" s="223"/>
      <c r="Q27" s="306"/>
      <c r="R27" s="307"/>
      <c r="S27" s="306"/>
      <c r="T27" s="308"/>
      <c r="U27" s="308"/>
      <c r="V27" s="309"/>
      <c r="W27" s="307"/>
      <c r="X27" s="357"/>
      <c r="Y27" s="49"/>
      <c r="Z27" s="21"/>
      <c r="AA27" s="22"/>
    </row>
    <row r="28" spans="1:27" ht="12" customHeight="1">
      <c r="A28" s="12"/>
      <c r="B28" s="27" t="s">
        <v>33</v>
      </c>
      <c r="C28" s="40" t="s">
        <v>34</v>
      </c>
      <c r="D28" s="236"/>
      <c r="E28" s="214">
        <f>E30*1000*E29/(E9+1E-94)</f>
        <v>0</v>
      </c>
      <c r="F28" s="141"/>
      <c r="G28" s="214">
        <f>G30*1000*G29/(G9+1E-94)</f>
        <v>0</v>
      </c>
      <c r="H28" s="353">
        <v>165.44</v>
      </c>
      <c r="I28" s="141"/>
      <c r="J28" s="230">
        <f>J30*J29/J8*1000</f>
        <v>121.0075026795284</v>
      </c>
      <c r="K28" s="229"/>
      <c r="L28" s="223">
        <f t="shared" si="6"/>
        <v>-100</v>
      </c>
      <c r="M28" s="218"/>
      <c r="N28" s="223">
        <f t="shared" si="1"/>
        <v>-100</v>
      </c>
      <c r="O28" s="223">
        <f>M28-K28</f>
        <v>0</v>
      </c>
      <c r="P28" s="217"/>
      <c r="Q28" s="252">
        <f>F28</f>
        <v>0</v>
      </c>
      <c r="R28" s="253">
        <f>Q28/(F28+1E-106)*100-100</f>
        <v>-100</v>
      </c>
      <c r="S28" s="252">
        <f>Q28</f>
        <v>0</v>
      </c>
      <c r="T28" s="253">
        <f t="shared" si="7"/>
        <v>-100</v>
      </c>
      <c r="U28" s="253">
        <f>S28/(F28+1E-106)*100-100</f>
        <v>-100</v>
      </c>
      <c r="V28" s="253">
        <f>S28-K28</f>
        <v>0</v>
      </c>
      <c r="W28" s="250"/>
      <c r="X28" s="30"/>
      <c r="Y28" s="49"/>
      <c r="Z28" s="21"/>
      <c r="AA28" s="22"/>
    </row>
    <row r="29" spans="1:27" ht="12" customHeight="1">
      <c r="A29" s="12"/>
      <c r="B29" s="27" t="s">
        <v>35</v>
      </c>
      <c r="C29" s="130"/>
      <c r="D29" s="141"/>
      <c r="E29" s="229"/>
      <c r="F29" s="141"/>
      <c r="G29" s="229"/>
      <c r="H29" s="358">
        <v>1.129</v>
      </c>
      <c r="I29" s="141"/>
      <c r="J29" s="230">
        <v>1.129</v>
      </c>
      <c r="K29" s="229"/>
      <c r="L29" s="223">
        <f t="shared" si="6"/>
        <v>-100</v>
      </c>
      <c r="M29" s="218"/>
      <c r="N29" s="223">
        <f t="shared" si="1"/>
        <v>-100</v>
      </c>
      <c r="O29" s="223"/>
      <c r="P29" s="217"/>
      <c r="Q29" s="252">
        <f>F29</f>
        <v>0</v>
      </c>
      <c r="R29" s="253">
        <f>Q29/(F29+1E-106)*100-100</f>
        <v>-100</v>
      </c>
      <c r="S29" s="252">
        <f>Q29</f>
        <v>0</v>
      </c>
      <c r="T29" s="253">
        <f t="shared" si="7"/>
        <v>-100</v>
      </c>
      <c r="U29" s="253">
        <f>S29/(F29+1E-106)*100-100</f>
        <v>-100</v>
      </c>
      <c r="V29" s="253">
        <f>S29-K29</f>
        <v>0</v>
      </c>
      <c r="W29" s="254"/>
      <c r="X29" s="30"/>
      <c r="Y29" s="49"/>
      <c r="Z29" s="21"/>
      <c r="AA29" s="22"/>
    </row>
    <row r="30" spans="1:27" ht="12" customHeight="1">
      <c r="A30" s="12"/>
      <c r="B30" s="13" t="s">
        <v>36</v>
      </c>
      <c r="C30" s="40" t="s">
        <v>37</v>
      </c>
      <c r="D30" s="219">
        <f>D28/(D29+1E-97)*D9/1000</f>
        <v>0</v>
      </c>
      <c r="E30" s="229"/>
      <c r="F30" s="219">
        <f>F28/(F29+1E-97)*F9/1000</f>
        <v>0</v>
      </c>
      <c r="G30" s="229"/>
      <c r="H30" s="354">
        <v>25492.66962807071</v>
      </c>
      <c r="I30" s="219">
        <f>I28/(I29+1E-97)*I9/1000</f>
        <v>0</v>
      </c>
      <c r="J30" s="235">
        <v>20</v>
      </c>
      <c r="K30" s="214"/>
      <c r="L30" s="223">
        <f t="shared" si="6"/>
        <v>-100</v>
      </c>
      <c r="M30" s="219">
        <f>M28/(M29+1E-97)*M9/1000</f>
        <v>0</v>
      </c>
      <c r="N30" s="223">
        <f t="shared" si="1"/>
        <v>-100</v>
      </c>
      <c r="O30" s="223">
        <f aca="true" t="shared" si="12" ref="O30:O44">M30-K30</f>
        <v>0</v>
      </c>
      <c r="P30" s="223"/>
      <c r="Q30" s="32">
        <f>Q28/(Q29+1E-97)*Q9/1000</f>
        <v>0</v>
      </c>
      <c r="R30" s="29">
        <f>Q30/(F30+1E-106)*100-100</f>
        <v>-100</v>
      </c>
      <c r="S30" s="32">
        <f>S28/(S29+1E-97)*S9/1000</f>
        <v>0</v>
      </c>
      <c r="T30" s="29">
        <f t="shared" si="7"/>
        <v>-100</v>
      </c>
      <c r="U30" s="29">
        <f>S30/(F30+1E-106)*100-100</f>
        <v>-100</v>
      </c>
      <c r="V30" s="29">
        <f>S30-K30</f>
        <v>0</v>
      </c>
      <c r="W30" s="31"/>
      <c r="X30" s="30"/>
      <c r="Y30" s="49"/>
      <c r="Z30" s="21"/>
      <c r="AA30" s="22"/>
    </row>
    <row r="31" spans="1:27" s="33" customFormat="1" ht="12" customHeight="1">
      <c r="A31" s="3"/>
      <c r="B31" s="4" t="s">
        <v>38</v>
      </c>
      <c r="C31" s="40" t="s">
        <v>39</v>
      </c>
      <c r="D31" s="220"/>
      <c r="E31" s="224">
        <f>E104/(E30+1E-103)*1000</f>
        <v>0</v>
      </c>
      <c r="F31" s="220"/>
      <c r="G31" s="224">
        <f>G104/(G30+1E-103)*1000</f>
        <v>0</v>
      </c>
      <c r="H31" s="355">
        <v>3453.3694999999993</v>
      </c>
      <c r="I31" s="220"/>
      <c r="J31" s="235">
        <v>4793.79</v>
      </c>
      <c r="K31" s="230"/>
      <c r="L31" s="223">
        <f t="shared" si="6"/>
        <v>-100</v>
      </c>
      <c r="M31" s="225"/>
      <c r="N31" s="223">
        <f t="shared" si="1"/>
        <v>-100</v>
      </c>
      <c r="O31" s="227">
        <f t="shared" si="12"/>
        <v>0</v>
      </c>
      <c r="P31" s="227"/>
      <c r="Q31" s="25"/>
      <c r="R31" s="7">
        <f>Q31/(F31+1E-106)*100-100</f>
        <v>-100</v>
      </c>
      <c r="S31" s="25"/>
      <c r="T31" s="7">
        <f t="shared" si="7"/>
        <v>-100</v>
      </c>
      <c r="U31" s="7">
        <f>S31/(F31+1E-106)*100-100</f>
        <v>-100</v>
      </c>
      <c r="V31" s="7">
        <f>S31-K31</f>
        <v>0</v>
      </c>
      <c r="W31" s="9"/>
      <c r="X31" s="359"/>
      <c r="Y31" s="50"/>
      <c r="AA31" s="34"/>
    </row>
    <row r="32" spans="1:27" ht="12" customHeight="1">
      <c r="A32" s="12"/>
      <c r="B32" s="35" t="s">
        <v>40</v>
      </c>
      <c r="C32" s="40" t="s">
        <v>39</v>
      </c>
      <c r="D32" s="141"/>
      <c r="E32" s="229"/>
      <c r="F32" s="141"/>
      <c r="G32" s="229"/>
      <c r="H32" s="353">
        <v>370.2195</v>
      </c>
      <c r="I32" s="141"/>
      <c r="J32" s="230"/>
      <c r="K32" s="229"/>
      <c r="L32" s="223">
        <f t="shared" si="6"/>
        <v>-100</v>
      </c>
      <c r="M32" s="141"/>
      <c r="N32" s="223">
        <f t="shared" si="1"/>
        <v>-100</v>
      </c>
      <c r="O32" s="223">
        <f t="shared" si="12"/>
        <v>0</v>
      </c>
      <c r="P32" s="223"/>
      <c r="Q32" s="28"/>
      <c r="R32" s="29">
        <f>Q32/(F32+1E-106)*100-100</f>
        <v>-100</v>
      </c>
      <c r="S32" s="28"/>
      <c r="T32" s="29">
        <f t="shared" si="7"/>
        <v>-100</v>
      </c>
      <c r="U32" s="29">
        <f>S32/(F32+1E-106)*100-100</f>
        <v>-100</v>
      </c>
      <c r="V32" s="29">
        <f>S32-K32</f>
        <v>0</v>
      </c>
      <c r="W32" s="16"/>
      <c r="X32" s="30"/>
      <c r="Y32" s="49"/>
      <c r="Z32" s="21"/>
      <c r="AA32" s="22"/>
    </row>
    <row r="33" spans="1:27" ht="12" customHeight="1" hidden="1">
      <c r="A33" s="310" t="s">
        <v>31</v>
      </c>
      <c r="B33" s="4" t="s">
        <v>41</v>
      </c>
      <c r="C33" s="40"/>
      <c r="D33" s="219"/>
      <c r="E33" s="214"/>
      <c r="F33" s="219"/>
      <c r="G33" s="214"/>
      <c r="H33" s="354"/>
      <c r="I33" s="219"/>
      <c r="J33" s="224"/>
      <c r="K33" s="214"/>
      <c r="L33" s="223"/>
      <c r="M33" s="219"/>
      <c r="N33" s="223"/>
      <c r="O33" s="223"/>
      <c r="P33" s="223"/>
      <c r="Q33" s="28"/>
      <c r="R33" s="29"/>
      <c r="S33" s="28"/>
      <c r="T33" s="29"/>
      <c r="U33" s="29"/>
      <c r="V33" s="29"/>
      <c r="W33" s="16"/>
      <c r="X33" s="517" t="s">
        <v>219</v>
      </c>
      <c r="Y33" s="49"/>
      <c r="Z33" s="21"/>
      <c r="AA33" s="22"/>
    </row>
    <row r="34" spans="1:27" ht="12" customHeight="1" hidden="1">
      <c r="A34" s="12"/>
      <c r="B34" s="27" t="s">
        <v>33</v>
      </c>
      <c r="C34" s="40" t="s">
        <v>34</v>
      </c>
      <c r="D34" s="141"/>
      <c r="E34" s="214">
        <f>E36*1000*E35/(E10+1E-99)</f>
        <v>0</v>
      </c>
      <c r="F34" s="141"/>
      <c r="G34" s="214">
        <f>G36*1000*G35/(G10+1E-99)</f>
        <v>0</v>
      </c>
      <c r="H34" s="353">
        <v>246.9</v>
      </c>
      <c r="I34" s="141"/>
      <c r="J34" s="235"/>
      <c r="K34" s="229"/>
      <c r="L34" s="223">
        <f t="shared" si="6"/>
        <v>-100</v>
      </c>
      <c r="M34" s="141"/>
      <c r="N34" s="223">
        <f t="shared" si="1"/>
        <v>-100</v>
      </c>
      <c r="O34" s="223">
        <f t="shared" si="12"/>
        <v>0</v>
      </c>
      <c r="P34" s="223"/>
      <c r="Q34" s="28"/>
      <c r="R34" s="29">
        <f>Q34/(F34+1E-106)*100-100</f>
        <v>-100</v>
      </c>
      <c r="S34" s="28"/>
      <c r="T34" s="29">
        <f t="shared" si="7"/>
        <v>-100</v>
      </c>
      <c r="U34" s="29">
        <f>S34/(F34+1E-106)*100-100</f>
        <v>-100</v>
      </c>
      <c r="V34" s="29">
        <f>S34-K34</f>
        <v>0</v>
      </c>
      <c r="W34" s="16"/>
      <c r="X34" s="523"/>
      <c r="Y34" s="49"/>
      <c r="Z34" s="21"/>
      <c r="AA34" s="22"/>
    </row>
    <row r="35" spans="1:27" ht="12" customHeight="1" hidden="1">
      <c r="A35" s="12"/>
      <c r="B35" s="27" t="s">
        <v>35</v>
      </c>
      <c r="C35" s="40"/>
      <c r="D35" s="141"/>
      <c r="E35" s="229"/>
      <c r="F35" s="141"/>
      <c r="G35" s="229"/>
      <c r="H35" s="353">
        <v>0.61</v>
      </c>
      <c r="I35" s="141"/>
      <c r="J35" s="230"/>
      <c r="K35" s="229"/>
      <c r="L35" s="223">
        <f t="shared" si="6"/>
        <v>-100</v>
      </c>
      <c r="M35" s="141"/>
      <c r="N35" s="223">
        <f t="shared" si="1"/>
        <v>-100</v>
      </c>
      <c r="O35" s="223">
        <f t="shared" si="12"/>
        <v>0</v>
      </c>
      <c r="P35" s="223"/>
      <c r="Q35" s="28"/>
      <c r="R35" s="29">
        <f>Q35/(F35+1E-106)*100-100</f>
        <v>-100</v>
      </c>
      <c r="S35" s="28"/>
      <c r="T35" s="29">
        <f t="shared" si="7"/>
        <v>-100</v>
      </c>
      <c r="U35" s="29">
        <f>S35/(F35+1E-106)*100-100</f>
        <v>-100</v>
      </c>
      <c r="V35" s="29">
        <f>S35-K35</f>
        <v>0</v>
      </c>
      <c r="W35" s="16"/>
      <c r="X35" s="523"/>
      <c r="Y35" s="49"/>
      <c r="Z35" s="21"/>
      <c r="AA35" s="22"/>
    </row>
    <row r="36" spans="1:27" ht="12" customHeight="1" hidden="1">
      <c r="A36" s="12"/>
      <c r="B36" s="13" t="s">
        <v>36</v>
      </c>
      <c r="C36" s="40" t="s">
        <v>42</v>
      </c>
      <c r="D36" s="219">
        <f>D34/(D35+1E-100)*D10/1000</f>
        <v>0</v>
      </c>
      <c r="E36" s="229"/>
      <c r="F36" s="219">
        <f>F34/(F35+1E-100)*F10/1000</f>
        <v>0</v>
      </c>
      <c r="G36" s="229"/>
      <c r="H36" s="354">
        <v>2966.927837955413</v>
      </c>
      <c r="I36" s="219">
        <f>I34/(I35+1E-100)*I10/1000</f>
        <v>0</v>
      </c>
      <c r="J36" s="235"/>
      <c r="K36" s="214">
        <f>K34/(K35+1E-100)*K10/1000</f>
        <v>0</v>
      </c>
      <c r="L36" s="223">
        <f t="shared" si="6"/>
        <v>-100</v>
      </c>
      <c r="M36" s="219">
        <f>M34/(M35+1E-100)*M10/1000</f>
        <v>0</v>
      </c>
      <c r="N36" s="223">
        <f t="shared" si="1"/>
        <v>-100</v>
      </c>
      <c r="O36" s="223">
        <f t="shared" si="12"/>
        <v>0</v>
      </c>
      <c r="P36" s="223"/>
      <c r="Q36" s="28">
        <f>Q34/(Q35+1E-100)*Q10/1000</f>
        <v>0</v>
      </c>
      <c r="R36" s="29">
        <f>Q36/(F36+1E-106)*100-100</f>
        <v>-100</v>
      </c>
      <c r="S36" s="28">
        <f>S34/(S35+1E-100)*S10/1000</f>
        <v>0</v>
      </c>
      <c r="T36" s="29">
        <f t="shared" si="7"/>
        <v>-100</v>
      </c>
      <c r="U36" s="29">
        <f>S36/(F36+1E-106)*100-100</f>
        <v>-100</v>
      </c>
      <c r="V36" s="29">
        <f>S36-K36</f>
        <v>0</v>
      </c>
      <c r="W36" s="16"/>
      <c r="X36" s="523"/>
      <c r="Y36" s="49"/>
      <c r="Z36" s="21"/>
      <c r="AA36" s="22"/>
    </row>
    <row r="37" spans="1:27" s="33" customFormat="1" ht="12" customHeight="1" hidden="1">
      <c r="A37" s="3"/>
      <c r="B37" s="4" t="s">
        <v>38</v>
      </c>
      <c r="C37" s="40" t="s">
        <v>43</v>
      </c>
      <c r="D37" s="220"/>
      <c r="E37" s="224">
        <f>E105/(E36+1E-102)*1000</f>
        <v>0</v>
      </c>
      <c r="F37" s="220"/>
      <c r="G37" s="224">
        <f>G105/(G36+1E-102)*1000</f>
        <v>0</v>
      </c>
      <c r="H37" s="355">
        <v>2832.4449999999997</v>
      </c>
      <c r="I37" s="220"/>
      <c r="J37" s="235"/>
      <c r="K37" s="230"/>
      <c r="L37" s="223">
        <f t="shared" si="6"/>
        <v>-100</v>
      </c>
      <c r="M37" s="220"/>
      <c r="N37" s="223">
        <f t="shared" si="1"/>
        <v>-100</v>
      </c>
      <c r="O37" s="227">
        <f t="shared" si="12"/>
        <v>0</v>
      </c>
      <c r="P37" s="227"/>
      <c r="Q37" s="25"/>
      <c r="R37" s="7">
        <f>Q37/(F37+1E-106)*100-100</f>
        <v>-100</v>
      </c>
      <c r="S37" s="25"/>
      <c r="T37" s="7">
        <f t="shared" si="7"/>
        <v>-100</v>
      </c>
      <c r="U37" s="7">
        <f>S37/(F37+1E-106)*100-100</f>
        <v>-100</v>
      </c>
      <c r="V37" s="7">
        <f>S37-K37</f>
        <v>0</v>
      </c>
      <c r="W37" s="9"/>
      <c r="X37" s="523"/>
      <c r="Y37" s="50"/>
      <c r="AA37" s="34"/>
    </row>
    <row r="38" spans="1:27" ht="12" customHeight="1" hidden="1">
      <c r="A38" s="12"/>
      <c r="B38" s="35" t="s">
        <v>40</v>
      </c>
      <c r="C38" s="40" t="s">
        <v>43</v>
      </c>
      <c r="D38" s="141"/>
      <c r="E38" s="229"/>
      <c r="F38" s="141"/>
      <c r="G38" s="229"/>
      <c r="H38" s="353">
        <v>273.26</v>
      </c>
      <c r="I38" s="141"/>
      <c r="J38" s="230"/>
      <c r="K38" s="229"/>
      <c r="L38" s="223">
        <f t="shared" si="6"/>
        <v>-100</v>
      </c>
      <c r="M38" s="141"/>
      <c r="N38" s="223">
        <f t="shared" si="1"/>
        <v>-100</v>
      </c>
      <c r="O38" s="223">
        <f t="shared" si="12"/>
        <v>0</v>
      </c>
      <c r="P38" s="223"/>
      <c r="Q38" s="28"/>
      <c r="R38" s="29">
        <f>Q38/(F38+1E-106)*100-100</f>
        <v>-100</v>
      </c>
      <c r="S38" s="28"/>
      <c r="T38" s="29">
        <f t="shared" si="7"/>
        <v>-100</v>
      </c>
      <c r="U38" s="29">
        <f>S38/(F38+1E-106)*100-100</f>
        <v>-100</v>
      </c>
      <c r="V38" s="29">
        <f>S38-K38</f>
        <v>0</v>
      </c>
      <c r="W38" s="16"/>
      <c r="X38" s="524"/>
      <c r="Y38" s="49"/>
      <c r="Z38" s="21"/>
      <c r="AA38" s="22"/>
    </row>
    <row r="39" spans="1:27" ht="12" customHeight="1" hidden="1">
      <c r="A39" s="310" t="s">
        <v>31</v>
      </c>
      <c r="B39" s="4" t="s">
        <v>44</v>
      </c>
      <c r="C39" s="40"/>
      <c r="D39" s="219"/>
      <c r="E39" s="214"/>
      <c r="F39" s="219"/>
      <c r="G39" s="214"/>
      <c r="H39" s="354"/>
      <c r="I39" s="219"/>
      <c r="J39" s="224"/>
      <c r="K39" s="214"/>
      <c r="L39" s="223"/>
      <c r="M39" s="219"/>
      <c r="N39" s="223"/>
      <c r="O39" s="223"/>
      <c r="P39" s="223"/>
      <c r="Q39" s="28"/>
      <c r="R39" s="29"/>
      <c r="S39" s="28"/>
      <c r="T39" s="29"/>
      <c r="U39" s="29"/>
      <c r="V39" s="29"/>
      <c r="W39" s="16"/>
      <c r="X39" s="30"/>
      <c r="Y39" s="49"/>
      <c r="Z39" s="21"/>
      <c r="AA39" s="22"/>
    </row>
    <row r="40" spans="1:27" ht="12" customHeight="1" hidden="1">
      <c r="A40" s="12"/>
      <c r="B40" s="27" t="s">
        <v>33</v>
      </c>
      <c r="C40" s="40" t="s">
        <v>34</v>
      </c>
      <c r="D40" s="141"/>
      <c r="E40" s="214">
        <f>E42*1000*E41/(E11+1E-97)</f>
        <v>0</v>
      </c>
      <c r="F40" s="141"/>
      <c r="G40" s="214">
        <f>G42*1000*G41/(G11+1E-97)</f>
        <v>0</v>
      </c>
      <c r="H40" s="353"/>
      <c r="I40" s="141"/>
      <c r="J40" s="235"/>
      <c r="K40" s="229"/>
      <c r="L40" s="223">
        <f t="shared" si="6"/>
        <v>-100</v>
      </c>
      <c r="M40" s="141"/>
      <c r="N40" s="223">
        <f t="shared" si="1"/>
        <v>-100</v>
      </c>
      <c r="O40" s="223">
        <f t="shared" si="12"/>
        <v>0</v>
      </c>
      <c r="P40" s="223"/>
      <c r="Q40" s="28"/>
      <c r="R40" s="29">
        <f>Q40/(F40+1E-106)*100-100</f>
        <v>-100</v>
      </c>
      <c r="S40" s="28"/>
      <c r="T40" s="29">
        <f t="shared" si="7"/>
        <v>-100</v>
      </c>
      <c r="U40" s="29">
        <f>S40/(F40+1E-106)*100-100</f>
        <v>-100</v>
      </c>
      <c r="V40" s="29">
        <f>S40-K40</f>
        <v>0</v>
      </c>
      <c r="W40" s="16"/>
      <c r="X40" s="517" t="s">
        <v>219</v>
      </c>
      <c r="Y40" s="49"/>
      <c r="Z40" s="21"/>
      <c r="AA40" s="22"/>
    </row>
    <row r="41" spans="1:27" ht="12" customHeight="1" hidden="1">
      <c r="A41" s="12"/>
      <c r="B41" s="27" t="s">
        <v>35</v>
      </c>
      <c r="C41" s="40"/>
      <c r="D41" s="141"/>
      <c r="E41" s="229"/>
      <c r="F41" s="141"/>
      <c r="G41" s="229"/>
      <c r="H41" s="353"/>
      <c r="I41" s="141"/>
      <c r="J41" s="235"/>
      <c r="K41" s="229"/>
      <c r="L41" s="223">
        <f t="shared" si="6"/>
        <v>-100</v>
      </c>
      <c r="M41" s="141"/>
      <c r="N41" s="223">
        <f t="shared" si="1"/>
        <v>-100</v>
      </c>
      <c r="O41" s="223">
        <f t="shared" si="12"/>
        <v>0</v>
      </c>
      <c r="P41" s="223"/>
      <c r="Q41" s="28"/>
      <c r="R41" s="29">
        <f>Q41/(F41+1E-106)*100-100</f>
        <v>-100</v>
      </c>
      <c r="S41" s="28"/>
      <c r="T41" s="29">
        <f t="shared" si="7"/>
        <v>-100</v>
      </c>
      <c r="U41" s="29">
        <f>S41/(F41+1E-106)*100-100</f>
        <v>-100</v>
      </c>
      <c r="V41" s="29">
        <f>S41-K41</f>
        <v>0</v>
      </c>
      <c r="W41" s="16"/>
      <c r="X41" s="518"/>
      <c r="Y41" s="49"/>
      <c r="Z41" s="21"/>
      <c r="AA41" s="22"/>
    </row>
    <row r="42" spans="1:27" ht="12" customHeight="1" hidden="1">
      <c r="A42" s="12"/>
      <c r="B42" s="13" t="s">
        <v>36</v>
      </c>
      <c r="C42" s="40" t="s">
        <v>42</v>
      </c>
      <c r="D42" s="219">
        <f>D40/(D41+1E-102)*D11/1000</f>
        <v>0</v>
      </c>
      <c r="E42" s="229"/>
      <c r="F42" s="219">
        <f>F40/(F41+1E-102)*F11/1000</f>
        <v>0</v>
      </c>
      <c r="G42" s="229"/>
      <c r="H42" s="354">
        <v>0</v>
      </c>
      <c r="I42" s="219">
        <f>I40/(I41+1E-102)*I11/1000</f>
        <v>0</v>
      </c>
      <c r="J42" s="235"/>
      <c r="K42" s="214">
        <f>K40/(K41+1E-102)*K11/1000</f>
        <v>0</v>
      </c>
      <c r="L42" s="223">
        <f t="shared" si="6"/>
        <v>-100</v>
      </c>
      <c r="M42" s="219">
        <f>M40/(M41+1E-102)*M11/1000</f>
        <v>0</v>
      </c>
      <c r="N42" s="223">
        <f t="shared" si="1"/>
        <v>-100</v>
      </c>
      <c r="O42" s="223">
        <f t="shared" si="12"/>
        <v>0</v>
      </c>
      <c r="P42" s="223"/>
      <c r="Q42" s="28">
        <f>Q40/(Q41+1E-102)*Q11/1000</f>
        <v>0</v>
      </c>
      <c r="R42" s="29">
        <f>Q42/(F42+1E-106)*100-100</f>
        <v>-100</v>
      </c>
      <c r="S42" s="28">
        <f>S40/(S41+1E-102)*S11/1000</f>
        <v>0</v>
      </c>
      <c r="T42" s="29">
        <f t="shared" si="7"/>
        <v>-100</v>
      </c>
      <c r="U42" s="29">
        <f>S42/(F42+1E-106)*100-100</f>
        <v>-100</v>
      </c>
      <c r="V42" s="29">
        <f>S42-K42</f>
        <v>0</v>
      </c>
      <c r="W42" s="16"/>
      <c r="X42" s="518"/>
      <c r="Y42" s="49"/>
      <c r="Z42" s="21"/>
      <c r="AA42" s="22"/>
    </row>
    <row r="43" spans="1:27" s="33" customFormat="1" ht="12" customHeight="1" hidden="1">
      <c r="A43" s="3"/>
      <c r="B43" s="4" t="s">
        <v>38</v>
      </c>
      <c r="C43" s="40" t="s">
        <v>43</v>
      </c>
      <c r="D43" s="220"/>
      <c r="E43" s="224">
        <f>E106/(E42+1E-103)*1000</f>
        <v>0</v>
      </c>
      <c r="F43" s="220"/>
      <c r="G43" s="224">
        <f>G106/(G42+1E-103)*1000</f>
        <v>0</v>
      </c>
      <c r="H43" s="355"/>
      <c r="I43" s="220"/>
      <c r="J43" s="235"/>
      <c r="K43" s="230"/>
      <c r="L43" s="223">
        <f t="shared" si="6"/>
        <v>-100</v>
      </c>
      <c r="M43" s="220"/>
      <c r="N43" s="223">
        <f t="shared" si="1"/>
        <v>-100</v>
      </c>
      <c r="O43" s="227">
        <f t="shared" si="12"/>
        <v>0</v>
      </c>
      <c r="P43" s="227"/>
      <c r="Q43" s="25"/>
      <c r="R43" s="7">
        <f>Q43/(F43+1E-106)*100-100</f>
        <v>-100</v>
      </c>
      <c r="S43" s="25"/>
      <c r="T43" s="7">
        <f t="shared" si="7"/>
        <v>-100</v>
      </c>
      <c r="U43" s="7">
        <f>S43/(F43+1E-106)*100-100</f>
        <v>-100</v>
      </c>
      <c r="V43" s="7">
        <f>S43-K43</f>
        <v>0</v>
      </c>
      <c r="W43" s="9"/>
      <c r="X43" s="518"/>
      <c r="Y43" s="50"/>
      <c r="AA43" s="34"/>
    </row>
    <row r="44" spans="1:27" ht="12" customHeight="1" hidden="1">
      <c r="A44" s="12"/>
      <c r="B44" s="35" t="s">
        <v>40</v>
      </c>
      <c r="C44" s="40" t="s">
        <v>43</v>
      </c>
      <c r="D44" s="141"/>
      <c r="E44" s="229"/>
      <c r="F44" s="141"/>
      <c r="G44" s="229"/>
      <c r="H44" s="353"/>
      <c r="I44" s="141"/>
      <c r="J44" s="230"/>
      <c r="K44" s="229"/>
      <c r="L44" s="223">
        <f t="shared" si="6"/>
        <v>-100</v>
      </c>
      <c r="M44" s="141"/>
      <c r="N44" s="223">
        <f t="shared" si="1"/>
        <v>-100</v>
      </c>
      <c r="O44" s="223">
        <f t="shared" si="12"/>
        <v>0</v>
      </c>
      <c r="P44" s="217"/>
      <c r="Q44" s="28"/>
      <c r="R44" s="29">
        <f>Q44/(F44+1E-106)*100-100</f>
        <v>-100</v>
      </c>
      <c r="S44" s="28"/>
      <c r="T44" s="29">
        <f t="shared" si="7"/>
        <v>-100</v>
      </c>
      <c r="U44" s="29">
        <f>S44/(F44+1E-106)*100-100</f>
        <v>-100</v>
      </c>
      <c r="V44" s="29">
        <f>S44-K44</f>
        <v>0</v>
      </c>
      <c r="W44" s="16"/>
      <c r="X44" s="519"/>
      <c r="Y44" s="49"/>
      <c r="Z44" s="21"/>
      <c r="AA44" s="22"/>
    </row>
    <row r="45" spans="1:27" ht="12" customHeight="1" hidden="1">
      <c r="A45" s="310" t="s">
        <v>31</v>
      </c>
      <c r="B45" s="4" t="s">
        <v>45</v>
      </c>
      <c r="C45" s="40"/>
      <c r="D45" s="219"/>
      <c r="E45" s="214"/>
      <c r="F45" s="219"/>
      <c r="G45" s="214"/>
      <c r="H45" s="354"/>
      <c r="I45" s="219"/>
      <c r="J45" s="224"/>
      <c r="K45" s="214"/>
      <c r="L45" s="223"/>
      <c r="M45" s="219"/>
      <c r="N45" s="223"/>
      <c r="O45" s="223"/>
      <c r="P45" s="223"/>
      <c r="Q45" s="28"/>
      <c r="R45" s="29"/>
      <c r="S45" s="28"/>
      <c r="T45" s="29"/>
      <c r="U45" s="29"/>
      <c r="V45" s="29"/>
      <c r="W45" s="16"/>
      <c r="X45" s="30"/>
      <c r="Y45" s="49"/>
      <c r="Z45" s="21"/>
      <c r="AA45" s="22"/>
    </row>
    <row r="46" spans="1:27" ht="12" customHeight="1" hidden="1">
      <c r="A46" s="12"/>
      <c r="B46" s="27" t="s">
        <v>33</v>
      </c>
      <c r="C46" s="40" t="s">
        <v>34</v>
      </c>
      <c r="D46" s="141"/>
      <c r="E46" s="214">
        <f>E48*1000*E47/(E12+1E-99)</f>
        <v>0</v>
      </c>
      <c r="F46" s="141"/>
      <c r="G46" s="214">
        <f>G48*1000*G47/(G12+1E-99)</f>
        <v>0</v>
      </c>
      <c r="H46" s="353">
        <v>161.37</v>
      </c>
      <c r="I46" s="141"/>
      <c r="J46" s="235"/>
      <c r="K46" s="229"/>
      <c r="L46" s="223">
        <f t="shared" si="6"/>
        <v>-100</v>
      </c>
      <c r="M46" s="141"/>
      <c r="N46" s="223">
        <f t="shared" si="1"/>
        <v>-100</v>
      </c>
      <c r="O46" s="223">
        <f aca="true" t="shared" si="13" ref="O46:O71">M46-K46</f>
        <v>0</v>
      </c>
      <c r="P46" s="223"/>
      <c r="Q46" s="28"/>
      <c r="R46" s="29">
        <f>Q46/(F46+1E-106)*100-100</f>
        <v>-100</v>
      </c>
      <c r="S46" s="28"/>
      <c r="T46" s="29">
        <f t="shared" si="7"/>
        <v>-100</v>
      </c>
      <c r="U46" s="29">
        <f>S46/(F46+1E-106)*100-100</f>
        <v>-100</v>
      </c>
      <c r="V46" s="29">
        <f>S46-K46</f>
        <v>0</v>
      </c>
      <c r="W46" s="16"/>
      <c r="X46" s="517" t="s">
        <v>219</v>
      </c>
      <c r="Y46" s="49"/>
      <c r="Z46" s="21"/>
      <c r="AA46" s="22"/>
    </row>
    <row r="47" spans="1:27" ht="12" customHeight="1" hidden="1">
      <c r="A47" s="12"/>
      <c r="B47" s="27" t="s">
        <v>35</v>
      </c>
      <c r="C47" s="40"/>
      <c r="D47" s="141"/>
      <c r="E47" s="229"/>
      <c r="F47" s="141"/>
      <c r="G47" s="229"/>
      <c r="H47" s="353">
        <v>1.467</v>
      </c>
      <c r="I47" s="141"/>
      <c r="J47" s="230"/>
      <c r="K47" s="229"/>
      <c r="L47" s="223">
        <f t="shared" si="6"/>
        <v>-100</v>
      </c>
      <c r="M47" s="141"/>
      <c r="N47" s="223">
        <f t="shared" si="1"/>
        <v>-100</v>
      </c>
      <c r="O47" s="223">
        <f t="shared" si="13"/>
        <v>0</v>
      </c>
      <c r="P47" s="217"/>
      <c r="Q47" s="28"/>
      <c r="R47" s="29">
        <f>Q47/(F47+1E-106)*100-100</f>
        <v>-100</v>
      </c>
      <c r="S47" s="28"/>
      <c r="T47" s="29">
        <f t="shared" si="7"/>
        <v>-100</v>
      </c>
      <c r="U47" s="29">
        <f>S47/(F47+1E-106)*100-100</f>
        <v>-100</v>
      </c>
      <c r="V47" s="29">
        <f>S47-K47</f>
        <v>0</v>
      </c>
      <c r="W47" s="16"/>
      <c r="X47" s="518"/>
      <c r="Y47" s="49"/>
      <c r="Z47" s="21"/>
      <c r="AA47" s="22"/>
    </row>
    <row r="48" spans="1:27" ht="12" customHeight="1" hidden="1">
      <c r="A48" s="12"/>
      <c r="B48" s="13" t="s">
        <v>36</v>
      </c>
      <c r="C48" s="40" t="s">
        <v>42</v>
      </c>
      <c r="D48" s="219">
        <f>D46/(D47+1E-105)*D12/1000</f>
        <v>0</v>
      </c>
      <c r="E48" s="229"/>
      <c r="F48" s="219">
        <f>F46/(F47+1E-105)*F12/1000</f>
        <v>0</v>
      </c>
      <c r="G48" s="229"/>
      <c r="H48" s="354">
        <v>45.93588744800001</v>
      </c>
      <c r="I48" s="219">
        <f>I46/(I47+1E-105)*I12/1000</f>
        <v>0</v>
      </c>
      <c r="J48" s="235"/>
      <c r="K48" s="214">
        <f>K46/(K47+1E-105)*K12/1000</f>
        <v>0</v>
      </c>
      <c r="L48" s="223">
        <f t="shared" si="6"/>
        <v>-100</v>
      </c>
      <c r="M48" s="219">
        <f>M46/(M47+1E-105)*M12/1000</f>
        <v>0</v>
      </c>
      <c r="N48" s="223">
        <f t="shared" si="1"/>
        <v>-100</v>
      </c>
      <c r="O48" s="223">
        <f t="shared" si="13"/>
        <v>0</v>
      </c>
      <c r="P48" s="223"/>
      <c r="Q48" s="28">
        <f>Q46/(Q47+1E-105)*Q12/1000</f>
        <v>0</v>
      </c>
      <c r="R48" s="29">
        <f>Q48/(F48+1E-106)*100-100</f>
        <v>-100</v>
      </c>
      <c r="S48" s="28">
        <f>S46/(S47+1E-105)*S12/1000</f>
        <v>0</v>
      </c>
      <c r="T48" s="29">
        <f t="shared" si="7"/>
        <v>-100</v>
      </c>
      <c r="U48" s="29">
        <f>S48/(F48+1E-106)*100-100</f>
        <v>-100</v>
      </c>
      <c r="V48" s="29">
        <f>S48-K48</f>
        <v>0</v>
      </c>
      <c r="W48" s="16"/>
      <c r="X48" s="518"/>
      <c r="Y48" s="49"/>
      <c r="Z48" s="21"/>
      <c r="AA48" s="22"/>
    </row>
    <row r="49" spans="1:27" s="33" customFormat="1" ht="12" customHeight="1" hidden="1">
      <c r="A49" s="3"/>
      <c r="B49" s="4" t="s">
        <v>38</v>
      </c>
      <c r="C49" s="40" t="s">
        <v>43</v>
      </c>
      <c r="D49" s="220"/>
      <c r="E49" s="224">
        <f>E107/(E48+1E-102)*1000</f>
        <v>0</v>
      </c>
      <c r="F49" s="220"/>
      <c r="G49" s="224">
        <f>G107/(G48+1E-102)*1000</f>
        <v>0</v>
      </c>
      <c r="H49" s="355">
        <v>19241.629999999997</v>
      </c>
      <c r="I49" s="220"/>
      <c r="J49" s="235"/>
      <c r="K49" s="230"/>
      <c r="L49" s="223">
        <f t="shared" si="6"/>
        <v>-100</v>
      </c>
      <c r="M49" s="220"/>
      <c r="N49" s="223">
        <f t="shared" si="1"/>
        <v>-100</v>
      </c>
      <c r="O49" s="227">
        <f t="shared" si="13"/>
        <v>0</v>
      </c>
      <c r="P49" s="227"/>
      <c r="Q49" s="25"/>
      <c r="R49" s="7">
        <f>Q49/(F49+1E-106)*100-100</f>
        <v>-100</v>
      </c>
      <c r="S49" s="25"/>
      <c r="T49" s="7">
        <f t="shared" si="7"/>
        <v>-100</v>
      </c>
      <c r="U49" s="7">
        <f>S49/(F49+1E-106)*100-100</f>
        <v>-100</v>
      </c>
      <c r="V49" s="7">
        <f>S49-K49</f>
        <v>0</v>
      </c>
      <c r="W49" s="9"/>
      <c r="X49" s="518"/>
      <c r="Y49" s="50"/>
      <c r="AA49" s="34"/>
    </row>
    <row r="50" spans="1:27" ht="12" customHeight="1" hidden="1">
      <c r="A50" s="12"/>
      <c r="B50" s="35" t="s">
        <v>40</v>
      </c>
      <c r="C50" s="40" t="s">
        <v>43</v>
      </c>
      <c r="D50" s="141"/>
      <c r="E50" s="229"/>
      <c r="F50" s="141"/>
      <c r="G50" s="229"/>
      <c r="H50" s="353"/>
      <c r="I50" s="141"/>
      <c r="J50" s="230"/>
      <c r="K50" s="229"/>
      <c r="L50" s="223">
        <f t="shared" si="6"/>
        <v>-100</v>
      </c>
      <c r="M50" s="141"/>
      <c r="N50" s="223">
        <f t="shared" si="1"/>
        <v>-100</v>
      </c>
      <c r="O50" s="223">
        <f t="shared" si="13"/>
        <v>0</v>
      </c>
      <c r="P50" s="217"/>
      <c r="Q50" s="28"/>
      <c r="R50" s="29">
        <f>Q50/(F50+1E-106)*100-100</f>
        <v>-100</v>
      </c>
      <c r="S50" s="28"/>
      <c r="T50" s="29">
        <f t="shared" si="7"/>
        <v>-100</v>
      </c>
      <c r="U50" s="29">
        <f>S50/(F50+1E-106)*100-100</f>
        <v>-100</v>
      </c>
      <c r="V50" s="29">
        <f>S50-K50</f>
        <v>0</v>
      </c>
      <c r="W50" s="16"/>
      <c r="X50" s="519"/>
      <c r="Y50" s="49"/>
      <c r="Z50" s="21"/>
      <c r="AA50" s="22"/>
    </row>
    <row r="51" spans="1:27" ht="12" customHeight="1" hidden="1">
      <c r="A51" s="310" t="s">
        <v>31</v>
      </c>
      <c r="B51" s="4" t="s">
        <v>46</v>
      </c>
      <c r="C51" s="40"/>
      <c r="D51" s="219"/>
      <c r="E51" s="214"/>
      <c r="F51" s="219"/>
      <c r="G51" s="214"/>
      <c r="H51" s="354"/>
      <c r="I51" s="219"/>
      <c r="J51" s="224"/>
      <c r="K51" s="214"/>
      <c r="L51" s="223"/>
      <c r="M51" s="219"/>
      <c r="N51" s="223"/>
      <c r="O51" s="223"/>
      <c r="P51" s="223"/>
      <c r="Q51" s="28"/>
      <c r="R51" s="29"/>
      <c r="S51" s="28"/>
      <c r="T51" s="29"/>
      <c r="U51" s="29"/>
      <c r="V51" s="29"/>
      <c r="W51" s="16"/>
      <c r="X51" s="30"/>
      <c r="Y51" s="49"/>
      <c r="Z51" s="21"/>
      <c r="AA51" s="22"/>
    </row>
    <row r="52" spans="1:27" ht="12" customHeight="1" hidden="1">
      <c r="A52" s="12"/>
      <c r="B52" s="27" t="s">
        <v>33</v>
      </c>
      <c r="C52" s="40" t="s">
        <v>34</v>
      </c>
      <c r="D52" s="141"/>
      <c r="E52" s="214">
        <f>E54*1000*E53/(E13+1E-97)</f>
        <v>0</v>
      </c>
      <c r="F52" s="141"/>
      <c r="G52" s="214">
        <f>G54*1000*G53/(G13+1E-97)</f>
        <v>0</v>
      </c>
      <c r="H52" s="353"/>
      <c r="I52" s="141"/>
      <c r="J52" s="235"/>
      <c r="K52" s="229"/>
      <c r="L52" s="223">
        <f t="shared" si="6"/>
        <v>-100</v>
      </c>
      <c r="M52" s="141"/>
      <c r="N52" s="223">
        <f t="shared" si="1"/>
        <v>-100</v>
      </c>
      <c r="O52" s="223">
        <f t="shared" si="13"/>
        <v>0</v>
      </c>
      <c r="P52" s="223"/>
      <c r="Q52" s="28"/>
      <c r="R52" s="29">
        <f>Q52/(F52+1E-106)*100-100</f>
        <v>-100</v>
      </c>
      <c r="S52" s="28"/>
      <c r="T52" s="29">
        <f t="shared" si="7"/>
        <v>-100</v>
      </c>
      <c r="U52" s="29">
        <f>S52/(F52+1E-106)*100-100</f>
        <v>-100</v>
      </c>
      <c r="V52" s="29">
        <f>S52-K52</f>
        <v>0</v>
      </c>
      <c r="W52" s="16"/>
      <c r="X52" s="517" t="s">
        <v>219</v>
      </c>
      <c r="Y52" s="49"/>
      <c r="Z52" s="21"/>
      <c r="AA52" s="22"/>
    </row>
    <row r="53" spans="1:27" ht="12" customHeight="1" hidden="1">
      <c r="A53" s="12"/>
      <c r="B53" s="27" t="s">
        <v>35</v>
      </c>
      <c r="C53" s="40"/>
      <c r="D53" s="141"/>
      <c r="E53" s="229"/>
      <c r="F53" s="141"/>
      <c r="G53" s="229"/>
      <c r="H53" s="353"/>
      <c r="I53" s="141"/>
      <c r="J53" s="230"/>
      <c r="K53" s="229"/>
      <c r="L53" s="223">
        <f t="shared" si="6"/>
        <v>-100</v>
      </c>
      <c r="M53" s="141"/>
      <c r="N53" s="223">
        <f t="shared" si="1"/>
        <v>-100</v>
      </c>
      <c r="O53" s="223">
        <f t="shared" si="13"/>
        <v>0</v>
      </c>
      <c r="P53" s="217"/>
      <c r="Q53" s="28"/>
      <c r="R53" s="29">
        <f>Q53/(F53+1E-106)*100-100</f>
        <v>-100</v>
      </c>
      <c r="S53" s="28"/>
      <c r="T53" s="29">
        <f t="shared" si="7"/>
        <v>-100</v>
      </c>
      <c r="U53" s="29">
        <f>S53/(F53+1E-106)*100-100</f>
        <v>-100</v>
      </c>
      <c r="V53" s="29">
        <f>S53-K53</f>
        <v>0</v>
      </c>
      <c r="W53" s="16"/>
      <c r="X53" s="518"/>
      <c r="Y53" s="49"/>
      <c r="Z53" s="21"/>
      <c r="AA53" s="22"/>
    </row>
    <row r="54" spans="1:27" ht="12" customHeight="1" hidden="1">
      <c r="A54" s="12"/>
      <c r="B54" s="13" t="s">
        <v>36</v>
      </c>
      <c r="C54" s="40" t="s">
        <v>42</v>
      </c>
      <c r="D54" s="219">
        <f>D52/(D53+1E-101)*D13/1000</f>
        <v>0</v>
      </c>
      <c r="E54" s="229"/>
      <c r="F54" s="219">
        <f>F52/(F53+1E-101)*F13/1000</f>
        <v>0</v>
      </c>
      <c r="G54" s="229"/>
      <c r="H54" s="354">
        <v>0</v>
      </c>
      <c r="I54" s="219">
        <f>I52/(I53+1E-101)*I13/1000</f>
        <v>0</v>
      </c>
      <c r="J54" s="235"/>
      <c r="K54" s="214">
        <f>K52/(K53+1E-101)*K13/1000</f>
        <v>0</v>
      </c>
      <c r="L54" s="223">
        <f t="shared" si="6"/>
        <v>-100</v>
      </c>
      <c r="M54" s="219">
        <f>M52/(M53+1E-101)*M13/1000</f>
        <v>0</v>
      </c>
      <c r="N54" s="223">
        <f t="shared" si="1"/>
        <v>-100</v>
      </c>
      <c r="O54" s="223">
        <f t="shared" si="13"/>
        <v>0</v>
      </c>
      <c r="P54" s="223"/>
      <c r="Q54" s="28">
        <f>Q52/(Q53+1E-101)*Q13/1000</f>
        <v>0</v>
      </c>
      <c r="R54" s="29">
        <f>Q54/(F54+1E-106)*100-100</f>
        <v>-100</v>
      </c>
      <c r="S54" s="28">
        <f>S52/(S53+1E-101)*S13/1000</f>
        <v>0</v>
      </c>
      <c r="T54" s="29">
        <f t="shared" si="7"/>
        <v>-100</v>
      </c>
      <c r="U54" s="29">
        <f>S54/(F54+1E-106)*100-100</f>
        <v>-100</v>
      </c>
      <c r="V54" s="29">
        <f>S54-K54</f>
        <v>0</v>
      </c>
      <c r="W54" s="16"/>
      <c r="X54" s="518"/>
      <c r="Y54" s="49"/>
      <c r="Z54" s="21"/>
      <c r="AA54" s="22"/>
    </row>
    <row r="55" spans="1:27" s="33" customFormat="1" ht="12" customHeight="1" hidden="1">
      <c r="A55" s="3"/>
      <c r="B55" s="4" t="s">
        <v>38</v>
      </c>
      <c r="C55" s="40" t="s">
        <v>43</v>
      </c>
      <c r="D55" s="220"/>
      <c r="E55" s="224">
        <f>E108/(E54+1E-102)*1000</f>
        <v>0</v>
      </c>
      <c r="F55" s="220"/>
      <c r="G55" s="224">
        <f>G108/(G54+1E-102)*1000</f>
        <v>0</v>
      </c>
      <c r="H55" s="355"/>
      <c r="I55" s="220"/>
      <c r="J55" s="230"/>
      <c r="K55" s="230"/>
      <c r="L55" s="223">
        <f t="shared" si="6"/>
        <v>-100</v>
      </c>
      <c r="M55" s="220"/>
      <c r="N55" s="223">
        <f t="shared" si="1"/>
        <v>-100</v>
      </c>
      <c r="O55" s="227">
        <f t="shared" si="13"/>
        <v>0</v>
      </c>
      <c r="P55" s="227"/>
      <c r="Q55" s="25"/>
      <c r="R55" s="7">
        <f>Q55/(F55+1E-106)*100-100</f>
        <v>-100</v>
      </c>
      <c r="S55" s="25"/>
      <c r="T55" s="7">
        <f t="shared" si="7"/>
        <v>-100</v>
      </c>
      <c r="U55" s="7">
        <f>S55/(F55+1E-106)*100-100</f>
        <v>-100</v>
      </c>
      <c r="V55" s="7">
        <f>S55-K55</f>
        <v>0</v>
      </c>
      <c r="W55" s="9"/>
      <c r="X55" s="518"/>
      <c r="Y55" s="50"/>
      <c r="AA55" s="34"/>
    </row>
    <row r="56" spans="1:27" ht="12" customHeight="1" hidden="1">
      <c r="A56" s="12"/>
      <c r="B56" s="35" t="s">
        <v>40</v>
      </c>
      <c r="C56" s="40" t="s">
        <v>43</v>
      </c>
      <c r="D56" s="141"/>
      <c r="E56" s="229"/>
      <c r="F56" s="141"/>
      <c r="G56" s="229"/>
      <c r="H56" s="353"/>
      <c r="I56" s="141"/>
      <c r="J56" s="230"/>
      <c r="K56" s="229"/>
      <c r="L56" s="223">
        <f t="shared" si="6"/>
        <v>-100</v>
      </c>
      <c r="M56" s="141"/>
      <c r="N56" s="223">
        <f t="shared" si="1"/>
        <v>-100</v>
      </c>
      <c r="O56" s="223">
        <f t="shared" si="13"/>
        <v>0</v>
      </c>
      <c r="P56" s="217"/>
      <c r="Q56" s="28"/>
      <c r="R56" s="29">
        <f>Q56/(F56+1E-106)*100-100</f>
        <v>-100</v>
      </c>
      <c r="S56" s="28"/>
      <c r="T56" s="29">
        <f t="shared" si="7"/>
        <v>-100</v>
      </c>
      <c r="U56" s="29">
        <f>S56/(F56+1E-106)*100-100</f>
        <v>-100</v>
      </c>
      <c r="V56" s="29">
        <f>S56-K56</f>
        <v>0</v>
      </c>
      <c r="W56" s="16"/>
      <c r="X56" s="519"/>
      <c r="Y56" s="49"/>
      <c r="Z56" s="21"/>
      <c r="AA56" s="22"/>
    </row>
    <row r="57" spans="1:27" ht="12" customHeight="1" hidden="1">
      <c r="A57" s="310" t="s">
        <v>31</v>
      </c>
      <c r="B57" s="4" t="s">
        <v>47</v>
      </c>
      <c r="C57" s="40"/>
      <c r="D57" s="219"/>
      <c r="E57" s="214"/>
      <c r="F57" s="219"/>
      <c r="G57" s="214"/>
      <c r="H57" s="354"/>
      <c r="I57" s="219"/>
      <c r="J57" s="224"/>
      <c r="K57" s="214"/>
      <c r="L57" s="223"/>
      <c r="M57" s="219"/>
      <c r="N57" s="223"/>
      <c r="O57" s="223"/>
      <c r="P57" s="223"/>
      <c r="Q57" s="28"/>
      <c r="R57" s="29"/>
      <c r="S57" s="28"/>
      <c r="T57" s="29"/>
      <c r="U57" s="29"/>
      <c r="V57" s="29"/>
      <c r="W57" s="16"/>
      <c r="X57" s="30"/>
      <c r="Y57" s="49"/>
      <c r="Z57" s="21"/>
      <c r="AA57" s="22"/>
    </row>
    <row r="58" spans="1:27" ht="12" customHeight="1" hidden="1">
      <c r="A58" s="12"/>
      <c r="B58" s="27" t="s">
        <v>33</v>
      </c>
      <c r="C58" s="40" t="s">
        <v>34</v>
      </c>
      <c r="D58" s="141"/>
      <c r="E58" s="214">
        <f>E60*1000*E59/(E14+1E-96)</f>
        <v>0</v>
      </c>
      <c r="F58" s="141"/>
      <c r="G58" s="214">
        <f>G60*1000*G59/(G14+1E-96)</f>
        <v>0</v>
      </c>
      <c r="H58" s="353"/>
      <c r="I58" s="141"/>
      <c r="J58" s="230"/>
      <c r="K58" s="229"/>
      <c r="L58" s="223">
        <f t="shared" si="6"/>
        <v>-100</v>
      </c>
      <c r="M58" s="141"/>
      <c r="N58" s="223">
        <f t="shared" si="1"/>
        <v>-100</v>
      </c>
      <c r="O58" s="223">
        <f t="shared" si="13"/>
        <v>0</v>
      </c>
      <c r="P58" s="223"/>
      <c r="Q58" s="28"/>
      <c r="R58" s="29">
        <f>Q58/(F58+1E-106)*100-100</f>
        <v>-100</v>
      </c>
      <c r="S58" s="28"/>
      <c r="T58" s="29">
        <f t="shared" si="7"/>
        <v>-100</v>
      </c>
      <c r="U58" s="29">
        <f>S58/(F58+1E-106)*100-100</f>
        <v>-100</v>
      </c>
      <c r="V58" s="29">
        <f>S58-K58</f>
        <v>0</v>
      </c>
      <c r="W58" s="16"/>
      <c r="X58" s="517" t="s">
        <v>219</v>
      </c>
      <c r="Y58" s="49"/>
      <c r="Z58" s="21"/>
      <c r="AA58" s="22"/>
    </row>
    <row r="59" spans="1:27" ht="12" customHeight="1" hidden="1">
      <c r="A59" s="12"/>
      <c r="B59" s="27" t="s">
        <v>35</v>
      </c>
      <c r="C59" s="40"/>
      <c r="D59" s="141"/>
      <c r="E59" s="229"/>
      <c r="F59" s="141"/>
      <c r="G59" s="229"/>
      <c r="H59" s="353"/>
      <c r="I59" s="141"/>
      <c r="J59" s="224"/>
      <c r="K59" s="229"/>
      <c r="L59" s="223">
        <f t="shared" si="6"/>
        <v>-100</v>
      </c>
      <c r="M59" s="141"/>
      <c r="N59" s="223">
        <f t="shared" si="1"/>
        <v>-100</v>
      </c>
      <c r="O59" s="223">
        <f t="shared" si="13"/>
        <v>0</v>
      </c>
      <c r="P59" s="217"/>
      <c r="Q59" s="28"/>
      <c r="R59" s="29">
        <f>Q59/(F59+1E-106)*100-100</f>
        <v>-100</v>
      </c>
      <c r="S59" s="28"/>
      <c r="T59" s="29">
        <f t="shared" si="7"/>
        <v>-100</v>
      </c>
      <c r="U59" s="29">
        <f>S59/(F59+1E-106)*100-100</f>
        <v>-100</v>
      </c>
      <c r="V59" s="29">
        <f>S59-K59</f>
        <v>0</v>
      </c>
      <c r="W59" s="16"/>
      <c r="X59" s="518"/>
      <c r="Y59" s="49"/>
      <c r="Z59" s="21"/>
      <c r="AA59" s="22"/>
    </row>
    <row r="60" spans="1:27" ht="12" customHeight="1" hidden="1">
      <c r="A60" s="12"/>
      <c r="B60" s="13" t="s">
        <v>36</v>
      </c>
      <c r="C60" s="40" t="s">
        <v>42</v>
      </c>
      <c r="D60" s="219">
        <f>D58/(D59+1E-101)*D14/1000</f>
        <v>0</v>
      </c>
      <c r="E60" s="229"/>
      <c r="F60" s="219">
        <f>F58/(F59+1E-101)*F14/1000</f>
        <v>0</v>
      </c>
      <c r="G60" s="229"/>
      <c r="H60" s="354">
        <v>0</v>
      </c>
      <c r="I60" s="219">
        <f>I58/(I59+1E-101)*I14/1000</f>
        <v>0</v>
      </c>
      <c r="J60" s="235"/>
      <c r="K60" s="214">
        <f>K58/(K59+1E-101)*K14/1000</f>
        <v>0</v>
      </c>
      <c r="L60" s="223">
        <f t="shared" si="6"/>
        <v>-100</v>
      </c>
      <c r="M60" s="219">
        <f>M58/(M59+1E-101)*M14/1000</f>
        <v>0</v>
      </c>
      <c r="N60" s="223">
        <f t="shared" si="1"/>
        <v>-100</v>
      </c>
      <c r="O60" s="223">
        <f t="shared" si="13"/>
        <v>0</v>
      </c>
      <c r="P60" s="223"/>
      <c r="Q60" s="28">
        <f>Q58/(Q59+1E-101)*Q14/1000</f>
        <v>0</v>
      </c>
      <c r="R60" s="29">
        <f>Q60/(F60+1E-106)*100-100</f>
        <v>-100</v>
      </c>
      <c r="S60" s="28">
        <f>S58/(S59+1E-101)*S14/1000</f>
        <v>0</v>
      </c>
      <c r="T60" s="29">
        <f t="shared" si="7"/>
        <v>-100</v>
      </c>
      <c r="U60" s="29">
        <f>S60/(F60+1E-106)*100-100</f>
        <v>-100</v>
      </c>
      <c r="V60" s="29">
        <f>S60-K60</f>
        <v>0</v>
      </c>
      <c r="W60" s="16"/>
      <c r="X60" s="518"/>
      <c r="Y60" s="49"/>
      <c r="Z60" s="21"/>
      <c r="AA60" s="22"/>
    </row>
    <row r="61" spans="1:27" s="33" customFormat="1" ht="12" customHeight="1" hidden="1">
      <c r="A61" s="3"/>
      <c r="B61" s="4" t="s">
        <v>38</v>
      </c>
      <c r="C61" s="40" t="s">
        <v>43</v>
      </c>
      <c r="D61" s="220"/>
      <c r="E61" s="224">
        <f>E109/(E60+1E-102)*1000</f>
        <v>0</v>
      </c>
      <c r="F61" s="220"/>
      <c r="G61" s="224">
        <f>G109/(G60+1E-102)*1000</f>
        <v>0</v>
      </c>
      <c r="H61" s="355"/>
      <c r="I61" s="220"/>
      <c r="J61" s="235"/>
      <c r="K61" s="230"/>
      <c r="L61" s="223">
        <f t="shared" si="6"/>
        <v>-100</v>
      </c>
      <c r="M61" s="220"/>
      <c r="N61" s="223">
        <f t="shared" si="1"/>
        <v>-100</v>
      </c>
      <c r="O61" s="227">
        <f t="shared" si="13"/>
        <v>0</v>
      </c>
      <c r="P61" s="226"/>
      <c r="Q61" s="25"/>
      <c r="R61" s="7">
        <f>Q61/(F61+1E-106)*100-100</f>
        <v>-100</v>
      </c>
      <c r="S61" s="25"/>
      <c r="T61" s="7">
        <f t="shared" si="7"/>
        <v>-100</v>
      </c>
      <c r="U61" s="7">
        <f>S61/(F61+1E-106)*100-100</f>
        <v>-100</v>
      </c>
      <c r="V61" s="7">
        <f>S61-K61</f>
        <v>0</v>
      </c>
      <c r="W61" s="9"/>
      <c r="X61" s="518"/>
      <c r="Y61" s="50"/>
      <c r="AA61" s="34"/>
    </row>
    <row r="62" spans="1:27" ht="12" customHeight="1" hidden="1">
      <c r="A62" s="12"/>
      <c r="B62" s="35" t="s">
        <v>40</v>
      </c>
      <c r="C62" s="40" t="s">
        <v>43</v>
      </c>
      <c r="D62" s="141"/>
      <c r="E62" s="229"/>
      <c r="F62" s="141"/>
      <c r="G62" s="229"/>
      <c r="H62" s="353"/>
      <c r="I62" s="141"/>
      <c r="J62" s="230"/>
      <c r="K62" s="229"/>
      <c r="L62" s="223">
        <f t="shared" si="6"/>
        <v>-100</v>
      </c>
      <c r="M62" s="141"/>
      <c r="N62" s="223">
        <f t="shared" si="1"/>
        <v>-100</v>
      </c>
      <c r="O62" s="223">
        <f t="shared" si="13"/>
        <v>0</v>
      </c>
      <c r="P62" s="217"/>
      <c r="Q62" s="28"/>
      <c r="R62" s="29">
        <f>Q62/(F62+1E-106)*100-100</f>
        <v>-100</v>
      </c>
      <c r="S62" s="28"/>
      <c r="T62" s="29">
        <f t="shared" si="7"/>
        <v>-100</v>
      </c>
      <c r="U62" s="29">
        <f>S62/(F62+1E-106)*100-100</f>
        <v>-100</v>
      </c>
      <c r="V62" s="29">
        <f>S62-K62</f>
        <v>0</v>
      </c>
      <c r="W62" s="16"/>
      <c r="X62" s="519"/>
      <c r="Y62" s="49"/>
      <c r="Z62" s="21"/>
      <c r="AA62" s="22"/>
    </row>
    <row r="63" spans="1:27" ht="12" customHeight="1" hidden="1">
      <c r="A63" s="310" t="s">
        <v>31</v>
      </c>
      <c r="B63" s="4" t="s">
        <v>48</v>
      </c>
      <c r="C63" s="40"/>
      <c r="D63" s="219"/>
      <c r="E63" s="214"/>
      <c r="F63" s="219"/>
      <c r="G63" s="214"/>
      <c r="H63" s="354"/>
      <c r="I63" s="219"/>
      <c r="J63" s="224"/>
      <c r="K63" s="214"/>
      <c r="L63" s="223"/>
      <c r="M63" s="219"/>
      <c r="N63" s="223"/>
      <c r="O63" s="223"/>
      <c r="P63" s="223"/>
      <c r="Q63" s="28"/>
      <c r="R63" s="29"/>
      <c r="S63" s="28"/>
      <c r="T63" s="29"/>
      <c r="U63" s="29"/>
      <c r="V63" s="29"/>
      <c r="W63" s="16"/>
      <c r="X63" s="30"/>
      <c r="Y63" s="49"/>
      <c r="Z63" s="21"/>
      <c r="AA63" s="22"/>
    </row>
    <row r="64" spans="1:27" ht="12" customHeight="1" hidden="1">
      <c r="A64" s="12"/>
      <c r="B64" s="27" t="s">
        <v>33</v>
      </c>
      <c r="C64" s="40" t="s">
        <v>34</v>
      </c>
      <c r="D64" s="141"/>
      <c r="E64" s="214">
        <f>E66*1000*E65/(E15+1E-98)</f>
        <v>0</v>
      </c>
      <c r="F64" s="141"/>
      <c r="G64" s="214">
        <f>G66*1000*G65/(G15+1E-98)</f>
        <v>0</v>
      </c>
      <c r="H64" s="353"/>
      <c r="I64" s="141"/>
      <c r="J64" s="230"/>
      <c r="K64" s="229"/>
      <c r="L64" s="223">
        <f t="shared" si="6"/>
        <v>-100</v>
      </c>
      <c r="M64" s="141"/>
      <c r="N64" s="223">
        <f t="shared" si="1"/>
        <v>-100</v>
      </c>
      <c r="O64" s="223">
        <f t="shared" si="13"/>
        <v>0</v>
      </c>
      <c r="P64" s="217"/>
      <c r="Q64" s="28"/>
      <c r="R64" s="29">
        <f>Q64/(F64+1E-106)*100-100</f>
        <v>-100</v>
      </c>
      <c r="S64" s="28"/>
      <c r="T64" s="29">
        <f t="shared" si="7"/>
        <v>-100</v>
      </c>
      <c r="U64" s="29">
        <f>S64/(F64+1E-106)*100-100</f>
        <v>-100</v>
      </c>
      <c r="V64" s="29">
        <f aca="true" t="shared" si="14" ref="V64:V97">S64-K64</f>
        <v>0</v>
      </c>
      <c r="W64" s="16"/>
      <c r="X64" s="517" t="s">
        <v>219</v>
      </c>
      <c r="Y64" s="49"/>
      <c r="Z64" s="21"/>
      <c r="AA64" s="22"/>
    </row>
    <row r="65" spans="1:27" ht="12" customHeight="1" hidden="1">
      <c r="A65" s="12"/>
      <c r="B65" s="27" t="s">
        <v>35</v>
      </c>
      <c r="C65" s="40"/>
      <c r="D65" s="141"/>
      <c r="E65" s="229"/>
      <c r="F65" s="141"/>
      <c r="G65" s="229"/>
      <c r="H65" s="353"/>
      <c r="I65" s="141"/>
      <c r="J65" s="230"/>
      <c r="K65" s="229"/>
      <c r="L65" s="223">
        <f t="shared" si="6"/>
        <v>-100</v>
      </c>
      <c r="M65" s="141"/>
      <c r="N65" s="223">
        <f t="shared" si="1"/>
        <v>-100</v>
      </c>
      <c r="O65" s="223">
        <f t="shared" si="13"/>
        <v>0</v>
      </c>
      <c r="P65" s="217"/>
      <c r="Q65" s="28"/>
      <c r="R65" s="29"/>
      <c r="S65" s="28"/>
      <c r="T65" s="29">
        <f t="shared" si="7"/>
        <v>-100</v>
      </c>
      <c r="U65" s="29">
        <f>S65/(F65+1E-106)*100-100</f>
        <v>-100</v>
      </c>
      <c r="V65" s="29">
        <f t="shared" si="14"/>
        <v>0</v>
      </c>
      <c r="W65" s="16"/>
      <c r="X65" s="518"/>
      <c r="Y65" s="49"/>
      <c r="Z65" s="21"/>
      <c r="AA65" s="22"/>
    </row>
    <row r="66" spans="1:27" ht="12" customHeight="1" hidden="1">
      <c r="A66" s="12"/>
      <c r="B66" s="13" t="s">
        <v>36</v>
      </c>
      <c r="C66" s="40" t="s">
        <v>42</v>
      </c>
      <c r="D66" s="219">
        <f>D64/(D65+1E-97)*D15/1000</f>
        <v>0</v>
      </c>
      <c r="E66" s="229"/>
      <c r="F66" s="219">
        <f>F64/(F65+1E-97)*F15/1000</f>
        <v>0</v>
      </c>
      <c r="G66" s="229"/>
      <c r="H66" s="354">
        <v>0</v>
      </c>
      <c r="I66" s="219">
        <f>I64/(I65+1E-97)*I15/1000</f>
        <v>0</v>
      </c>
      <c r="J66" s="235"/>
      <c r="K66" s="214">
        <f>K64/(K65+1E-97)*K15/1000</f>
        <v>0</v>
      </c>
      <c r="L66" s="223">
        <f t="shared" si="6"/>
        <v>-100</v>
      </c>
      <c r="M66" s="219">
        <f>M64/(M65+1E-97)*M15/1000</f>
        <v>0</v>
      </c>
      <c r="N66" s="223">
        <f t="shared" si="1"/>
        <v>-100</v>
      </c>
      <c r="O66" s="223">
        <f t="shared" si="13"/>
        <v>0</v>
      </c>
      <c r="P66" s="223"/>
      <c r="Q66" s="28">
        <f>Q64/(Q65+1E-97)*Q15/1000</f>
        <v>0</v>
      </c>
      <c r="R66" s="29">
        <f>Q66/(F66+1E-106)*100-100</f>
        <v>-100</v>
      </c>
      <c r="S66" s="28">
        <f>S64/(S65+1E-97)*S15/1000</f>
        <v>0</v>
      </c>
      <c r="T66" s="29">
        <f t="shared" si="7"/>
        <v>-100</v>
      </c>
      <c r="U66" s="29">
        <f>S66/(F66+1E-106)*100-100</f>
        <v>-100</v>
      </c>
      <c r="V66" s="29">
        <f t="shared" si="14"/>
        <v>0</v>
      </c>
      <c r="W66" s="16"/>
      <c r="X66" s="518"/>
      <c r="Y66" s="49"/>
      <c r="Z66" s="21"/>
      <c r="AA66" s="22"/>
    </row>
    <row r="67" spans="1:27" s="33" customFormat="1" ht="12" customHeight="1" hidden="1">
      <c r="A67" s="3"/>
      <c r="B67" s="4" t="s">
        <v>38</v>
      </c>
      <c r="C67" s="40" t="s">
        <v>43</v>
      </c>
      <c r="D67" s="220"/>
      <c r="E67" s="224">
        <f>E110/(E66+1E-102)*1000</f>
        <v>0</v>
      </c>
      <c r="F67" s="220"/>
      <c r="G67" s="224">
        <f>G110/(G66+1E-102)*1000</f>
        <v>0</v>
      </c>
      <c r="H67" s="355"/>
      <c r="I67" s="220"/>
      <c r="J67" s="235"/>
      <c r="K67" s="230"/>
      <c r="L67" s="223">
        <f t="shared" si="6"/>
        <v>-100</v>
      </c>
      <c r="M67" s="220"/>
      <c r="N67" s="223">
        <f t="shared" si="1"/>
        <v>-100</v>
      </c>
      <c r="O67" s="227">
        <f t="shared" si="13"/>
        <v>0</v>
      </c>
      <c r="P67" s="226"/>
      <c r="Q67" s="25"/>
      <c r="R67" s="7">
        <f>Q67/(F67+1E-106)*100-100</f>
        <v>-100</v>
      </c>
      <c r="S67" s="25"/>
      <c r="T67" s="7">
        <f t="shared" si="7"/>
        <v>-100</v>
      </c>
      <c r="U67" s="7">
        <f>S67/(F67+1E-106)*100-100</f>
        <v>-100</v>
      </c>
      <c r="V67" s="7">
        <f t="shared" si="14"/>
        <v>0</v>
      </c>
      <c r="W67" s="9"/>
      <c r="X67" s="518"/>
      <c r="Y67" s="50"/>
      <c r="AA67" s="34"/>
    </row>
    <row r="68" spans="1:27" ht="12" customHeight="1" hidden="1">
      <c r="A68" s="12"/>
      <c r="B68" s="35" t="s">
        <v>40</v>
      </c>
      <c r="C68" s="40" t="s">
        <v>43</v>
      </c>
      <c r="D68" s="141"/>
      <c r="E68" s="229"/>
      <c r="F68" s="141"/>
      <c r="G68" s="229"/>
      <c r="H68" s="353"/>
      <c r="I68" s="141"/>
      <c r="J68" s="230"/>
      <c r="K68" s="229"/>
      <c r="L68" s="223">
        <f t="shared" si="6"/>
        <v>-100</v>
      </c>
      <c r="M68" s="141"/>
      <c r="N68" s="223">
        <f t="shared" si="1"/>
        <v>-100</v>
      </c>
      <c r="O68" s="223">
        <f t="shared" si="13"/>
        <v>0</v>
      </c>
      <c r="P68" s="217"/>
      <c r="Q68" s="28"/>
      <c r="R68" s="29">
        <f>Q68/(F68+1E-106)*100-100</f>
        <v>-100</v>
      </c>
      <c r="S68" s="28"/>
      <c r="T68" s="29">
        <f t="shared" si="7"/>
        <v>-100</v>
      </c>
      <c r="U68" s="29">
        <f>S68/(F68+1E-106)*100-100</f>
        <v>-100</v>
      </c>
      <c r="V68" s="29">
        <f t="shared" si="14"/>
        <v>0</v>
      </c>
      <c r="W68" s="16"/>
      <c r="X68" s="519"/>
      <c r="Y68" s="49"/>
      <c r="Z68" s="21"/>
      <c r="AA68" s="22"/>
    </row>
    <row r="69" spans="1:27" ht="12" customHeight="1">
      <c r="A69" s="311">
        <v>8</v>
      </c>
      <c r="B69" s="52" t="s">
        <v>49</v>
      </c>
      <c r="C69" s="165"/>
      <c r="D69" s="216"/>
      <c r="E69" s="216"/>
      <c r="F69" s="216"/>
      <c r="G69" s="216"/>
      <c r="H69" s="352"/>
      <c r="I69" s="216"/>
      <c r="J69" s="216"/>
      <c r="K69" s="216"/>
      <c r="L69" s="216"/>
      <c r="M69" s="216"/>
      <c r="N69" s="216"/>
      <c r="O69" s="216"/>
      <c r="P69" s="216"/>
      <c r="Q69" s="164"/>
      <c r="R69" s="164"/>
      <c r="S69" s="164"/>
      <c r="T69" s="164"/>
      <c r="U69" s="164"/>
      <c r="V69" s="164">
        <f t="shared" si="14"/>
        <v>0</v>
      </c>
      <c r="W69" s="55"/>
      <c r="X69" s="360"/>
      <c r="Y69" s="49"/>
      <c r="Z69" s="21"/>
      <c r="AA69" s="22"/>
    </row>
    <row r="70" spans="1:27" ht="12" customHeight="1">
      <c r="A70" s="3" t="s">
        <v>31</v>
      </c>
      <c r="B70" s="13" t="s">
        <v>50</v>
      </c>
      <c r="C70" s="40"/>
      <c r="D70" s="219">
        <f aca="true" t="shared" si="15" ref="D70:I70">D71*1000/(D8+1E-113)</f>
        <v>0</v>
      </c>
      <c r="E70" s="214">
        <f t="shared" si="15"/>
        <v>0</v>
      </c>
      <c r="F70" s="219">
        <f t="shared" si="15"/>
        <v>0</v>
      </c>
      <c r="G70" s="214">
        <f t="shared" si="15"/>
        <v>0</v>
      </c>
      <c r="H70" s="354">
        <v>33.01</v>
      </c>
      <c r="I70" s="219">
        <f t="shared" si="15"/>
        <v>0</v>
      </c>
      <c r="J70" s="235">
        <f>J73/J8*1000</f>
        <v>17.684887459807076</v>
      </c>
      <c r="K70" s="214"/>
      <c r="L70" s="223">
        <f t="shared" si="6"/>
        <v>-100</v>
      </c>
      <c r="M70" s="219">
        <f>M71*1000/(M8+1E-113)</f>
        <v>0</v>
      </c>
      <c r="N70" s="223">
        <f t="shared" si="1"/>
        <v>-100</v>
      </c>
      <c r="O70" s="223">
        <f t="shared" si="13"/>
        <v>0</v>
      </c>
      <c r="P70" s="223"/>
      <c r="Q70" s="28" t="e">
        <f>Q71*1000/(Q8+1E-113)</f>
        <v>#REF!</v>
      </c>
      <c r="R70" s="29" t="e">
        <f>Q70/(F70+1E-106)*100-100</f>
        <v>#REF!</v>
      </c>
      <c r="S70" s="28" t="e">
        <f>S71*1000/(S8+1E-113)</f>
        <v>#REF!</v>
      </c>
      <c r="T70" s="29" t="e">
        <f t="shared" si="7"/>
        <v>#REF!</v>
      </c>
      <c r="U70" s="29" t="e">
        <f aca="true" t="shared" si="16" ref="U70:U96">S70/(F70+1E-106)*100-100</f>
        <v>#REF!</v>
      </c>
      <c r="V70" s="29" t="e">
        <f t="shared" si="14"/>
        <v>#REF!</v>
      </c>
      <c r="W70" s="16"/>
      <c r="X70" s="30"/>
      <c r="Y70" s="49"/>
      <c r="Z70" s="21"/>
      <c r="AA70" s="22"/>
    </row>
    <row r="71" spans="1:27" s="33" customFormat="1" ht="12" customHeight="1">
      <c r="A71" s="3" t="s">
        <v>31</v>
      </c>
      <c r="B71" s="4" t="s">
        <v>170</v>
      </c>
      <c r="C71" s="40" t="s">
        <v>51</v>
      </c>
      <c r="D71" s="216">
        <f aca="true" t="shared" si="17" ref="D71:I71">D74+D80+D86+D92</f>
        <v>0</v>
      </c>
      <c r="E71" s="224">
        <f t="shared" si="17"/>
        <v>0</v>
      </c>
      <c r="F71" s="216">
        <f t="shared" si="17"/>
        <v>0</v>
      </c>
      <c r="G71" s="224">
        <f t="shared" si="17"/>
        <v>0</v>
      </c>
      <c r="H71" s="352">
        <v>5998.4301086767855</v>
      </c>
      <c r="I71" s="216">
        <f t="shared" si="17"/>
        <v>0</v>
      </c>
      <c r="J71" s="235">
        <v>3.3</v>
      </c>
      <c r="K71" s="224"/>
      <c r="L71" s="223">
        <f t="shared" si="6"/>
        <v>-100</v>
      </c>
      <c r="M71" s="216">
        <f>M74+M80+M86+M92</f>
        <v>0</v>
      </c>
      <c r="N71" s="223">
        <f t="shared" si="1"/>
        <v>-100</v>
      </c>
      <c r="O71" s="227">
        <f t="shared" si="13"/>
        <v>0</v>
      </c>
      <c r="P71" s="227"/>
      <c r="Q71" s="25" t="e">
        <f>#REF!+#REF!+#REF!+#REF!</f>
        <v>#REF!</v>
      </c>
      <c r="R71" s="7" t="e">
        <f>Q71/(F71+1E-106)*100-100</f>
        <v>#REF!</v>
      </c>
      <c r="S71" s="25" t="e">
        <f>#REF!+#REF!+#REF!+#REF!</f>
        <v>#REF!</v>
      </c>
      <c r="T71" s="7" t="e">
        <f t="shared" si="7"/>
        <v>#REF!</v>
      </c>
      <c r="U71" s="7" t="e">
        <f t="shared" si="16"/>
        <v>#REF!</v>
      </c>
      <c r="V71" s="7" t="e">
        <f t="shared" si="14"/>
        <v>#REF!</v>
      </c>
      <c r="W71" s="8"/>
      <c r="X71" s="361"/>
      <c r="Y71" s="50"/>
      <c r="AA71" s="34"/>
    </row>
    <row r="72" spans="1:27" ht="12" customHeight="1">
      <c r="A72" s="3"/>
      <c r="B72" s="4" t="s">
        <v>57</v>
      </c>
      <c r="C72" s="40"/>
      <c r="D72" s="141"/>
      <c r="E72" s="229"/>
      <c r="F72" s="141"/>
      <c r="G72" s="229"/>
      <c r="H72" s="353"/>
      <c r="I72" s="141"/>
      <c r="J72" s="230"/>
      <c r="K72" s="229"/>
      <c r="L72" s="223">
        <f t="shared" si="6"/>
        <v>-100</v>
      </c>
      <c r="M72" s="141"/>
      <c r="N72" s="223">
        <f>M72/(I72+1E-106)*100-100</f>
        <v>-100</v>
      </c>
      <c r="O72" s="223"/>
      <c r="P72" s="217"/>
      <c r="Q72" s="255"/>
      <c r="R72" s="256"/>
      <c r="S72" s="255"/>
      <c r="T72" s="256">
        <f t="shared" si="7"/>
        <v>-100</v>
      </c>
      <c r="U72" s="256">
        <f t="shared" si="16"/>
        <v>-100</v>
      </c>
      <c r="V72" s="250">
        <f t="shared" si="14"/>
        <v>0</v>
      </c>
      <c r="W72" s="256"/>
      <c r="X72" s="30"/>
      <c r="Y72" s="49"/>
      <c r="Z72" s="21"/>
      <c r="AA72" s="22"/>
    </row>
    <row r="73" spans="1:27" ht="12" customHeight="1">
      <c r="A73" s="310" t="s">
        <v>31</v>
      </c>
      <c r="B73" s="4" t="s">
        <v>52</v>
      </c>
      <c r="C73" s="40"/>
      <c r="D73" s="219"/>
      <c r="E73" s="214"/>
      <c r="F73" s="219"/>
      <c r="G73" s="214"/>
      <c r="H73" s="354"/>
      <c r="I73" s="219"/>
      <c r="J73" s="224">
        <v>3.3</v>
      </c>
      <c r="K73" s="214"/>
      <c r="L73" s="223"/>
      <c r="M73" s="219"/>
      <c r="N73" s="223"/>
      <c r="O73" s="223"/>
      <c r="P73" s="217"/>
      <c r="Q73" s="257"/>
      <c r="R73" s="250"/>
      <c r="S73" s="257"/>
      <c r="T73" s="256">
        <f aca="true" t="shared" si="18" ref="T73:T127">S73/(Q73+1E-106)*100-100</f>
        <v>-100</v>
      </c>
      <c r="U73" s="256">
        <f t="shared" si="16"/>
        <v>-100</v>
      </c>
      <c r="V73" s="250">
        <f t="shared" si="14"/>
        <v>0</v>
      </c>
      <c r="W73" s="250"/>
      <c r="X73" s="39"/>
      <c r="Y73" s="49"/>
      <c r="Z73" s="21"/>
      <c r="AA73" s="22"/>
    </row>
    <row r="74" spans="1:27" ht="12" customHeight="1">
      <c r="A74" s="12"/>
      <c r="B74" s="13" t="s">
        <v>58</v>
      </c>
      <c r="C74" s="40" t="s">
        <v>51</v>
      </c>
      <c r="D74" s="141"/>
      <c r="E74" s="229"/>
      <c r="F74" s="141"/>
      <c r="G74" s="229"/>
      <c r="H74" s="353">
        <v>5998.4301086767855</v>
      </c>
      <c r="I74" s="141"/>
      <c r="J74" s="230">
        <v>3.3</v>
      </c>
      <c r="K74" s="229"/>
      <c r="L74" s="223">
        <f t="shared" si="6"/>
        <v>-100</v>
      </c>
      <c r="M74" s="141"/>
      <c r="N74" s="223">
        <f>M74/(I74+1E-106)*100-100</f>
        <v>-100</v>
      </c>
      <c r="O74" s="223">
        <f>M74-K74</f>
        <v>0</v>
      </c>
      <c r="P74" s="217"/>
      <c r="Q74" s="257"/>
      <c r="R74" s="250">
        <f>Q74/(F74+1E-106)*100-100</f>
        <v>-100</v>
      </c>
      <c r="S74" s="257"/>
      <c r="T74" s="256">
        <f t="shared" si="18"/>
        <v>-100</v>
      </c>
      <c r="U74" s="256">
        <f t="shared" si="16"/>
        <v>-100</v>
      </c>
      <c r="V74" s="250">
        <f t="shared" si="14"/>
        <v>0</v>
      </c>
      <c r="W74" s="250"/>
      <c r="X74" s="39"/>
      <c r="Y74" s="49"/>
      <c r="Z74" s="21"/>
      <c r="AA74" s="22"/>
    </row>
    <row r="75" spans="1:27" s="33" customFormat="1" ht="12" customHeight="1">
      <c r="A75" s="3"/>
      <c r="B75" s="4" t="s">
        <v>59</v>
      </c>
      <c r="C75" s="40" t="s">
        <v>60</v>
      </c>
      <c r="D75" s="220"/>
      <c r="E75" s="227">
        <f>(E112-E77*12*E78)/(E74+1E-107)</f>
        <v>0</v>
      </c>
      <c r="F75" s="220"/>
      <c r="G75" s="227">
        <f>(G112-G77*12*G78)/(G74+1E-107)</f>
        <v>0</v>
      </c>
      <c r="H75" s="355">
        <v>4.114800000000001</v>
      </c>
      <c r="I75" s="220"/>
      <c r="J75" s="235">
        <v>4.53</v>
      </c>
      <c r="K75" s="229"/>
      <c r="L75" s="223">
        <f>K75/(I75+1E-133)*100-100</f>
        <v>-100</v>
      </c>
      <c r="M75" s="220"/>
      <c r="N75" s="223">
        <f>M75/(I75+1E-106)*100-100</f>
        <v>-100</v>
      </c>
      <c r="O75" s="227">
        <f>M75-K75</f>
        <v>0</v>
      </c>
      <c r="P75" s="227"/>
      <c r="Q75" s="25"/>
      <c r="R75" s="7">
        <f>Q75/(F75+1E-106)*100-100</f>
        <v>-100</v>
      </c>
      <c r="S75" s="25"/>
      <c r="T75" s="8">
        <f t="shared" si="18"/>
        <v>-100</v>
      </c>
      <c r="U75" s="8">
        <f t="shared" si="16"/>
        <v>-100</v>
      </c>
      <c r="V75" s="9">
        <f t="shared" si="14"/>
        <v>0</v>
      </c>
      <c r="W75" s="7"/>
      <c r="X75" s="43"/>
      <c r="Y75" s="50"/>
      <c r="AA75" s="34"/>
    </row>
    <row r="76" spans="1:27" ht="12" customHeight="1">
      <c r="A76" s="12"/>
      <c r="B76" s="13" t="s">
        <v>61</v>
      </c>
      <c r="C76" s="40" t="s">
        <v>62</v>
      </c>
      <c r="D76" s="141"/>
      <c r="E76" s="229"/>
      <c r="F76" s="141"/>
      <c r="G76" s="229"/>
      <c r="H76" s="353"/>
      <c r="I76" s="141"/>
      <c r="J76" s="230"/>
      <c r="K76" s="229"/>
      <c r="L76" s="223">
        <f>K76/(I76+1E-133)*100-100</f>
        <v>-100</v>
      </c>
      <c r="M76" s="141"/>
      <c r="N76" s="223">
        <f>M76/(I76+1E-106)*100-100</f>
        <v>-100</v>
      </c>
      <c r="O76" s="223"/>
      <c r="P76" s="217"/>
      <c r="Q76" s="257"/>
      <c r="R76" s="250"/>
      <c r="S76" s="257"/>
      <c r="T76" s="256">
        <f t="shared" si="18"/>
        <v>-100</v>
      </c>
      <c r="U76" s="256">
        <f t="shared" si="16"/>
        <v>-100</v>
      </c>
      <c r="V76" s="250">
        <f t="shared" si="14"/>
        <v>0</v>
      </c>
      <c r="W76" s="250"/>
      <c r="X76" s="39"/>
      <c r="Y76" s="49"/>
      <c r="Z76" s="21"/>
      <c r="AA76" s="22"/>
    </row>
    <row r="77" spans="1:27" ht="12" customHeight="1">
      <c r="A77" s="12"/>
      <c r="B77" s="13" t="s">
        <v>63</v>
      </c>
      <c r="C77" s="40" t="s">
        <v>64</v>
      </c>
      <c r="D77" s="141"/>
      <c r="E77" s="229"/>
      <c r="F77" s="141"/>
      <c r="G77" s="229"/>
      <c r="H77" s="353"/>
      <c r="I77" s="141"/>
      <c r="J77" s="230"/>
      <c r="K77" s="229"/>
      <c r="L77" s="223">
        <f>K77/(I77+1E-133)*100-100</f>
        <v>-100</v>
      </c>
      <c r="M77" s="141"/>
      <c r="N77" s="223">
        <f>M77/(I77+1E-106)*100-100</f>
        <v>-100</v>
      </c>
      <c r="O77" s="223">
        <f aca="true" t="shared" si="19" ref="O77:O100">M77-K77</f>
        <v>0</v>
      </c>
      <c r="P77" s="217"/>
      <c r="Q77" s="257"/>
      <c r="R77" s="250">
        <f>Q77/(F77+1E-106)*100-100</f>
        <v>-100</v>
      </c>
      <c r="S77" s="257"/>
      <c r="T77" s="256">
        <f t="shared" si="18"/>
        <v>-100</v>
      </c>
      <c r="U77" s="256">
        <f t="shared" si="16"/>
        <v>-100</v>
      </c>
      <c r="V77" s="250">
        <f t="shared" si="14"/>
        <v>0</v>
      </c>
      <c r="W77" s="250"/>
      <c r="X77" s="39"/>
      <c r="Y77" s="49"/>
      <c r="Z77" s="21"/>
      <c r="AA77" s="22"/>
    </row>
    <row r="78" spans="1:27" ht="12" customHeight="1" hidden="1">
      <c r="A78" s="12"/>
      <c r="B78" s="13" t="s">
        <v>66</v>
      </c>
      <c r="C78" s="40" t="s">
        <v>67</v>
      </c>
      <c r="D78" s="141"/>
      <c r="E78" s="229"/>
      <c r="F78" s="141"/>
      <c r="G78" s="229"/>
      <c r="H78" s="353"/>
      <c r="I78" s="141"/>
      <c r="J78" s="230"/>
      <c r="K78" s="229"/>
      <c r="L78" s="223">
        <f>K78/(I78+1E-133)*100-100</f>
        <v>-100</v>
      </c>
      <c r="M78" s="141"/>
      <c r="N78" s="223">
        <f>M78/(I78+1E-106)*100-100</f>
        <v>-100</v>
      </c>
      <c r="O78" s="223">
        <f t="shared" si="19"/>
        <v>0</v>
      </c>
      <c r="P78" s="217"/>
      <c r="Q78" s="257"/>
      <c r="R78" s="250">
        <f>Q78/(F78+1E-106)*100-100</f>
        <v>-100</v>
      </c>
      <c r="S78" s="257"/>
      <c r="T78" s="256">
        <f t="shared" si="18"/>
        <v>-100</v>
      </c>
      <c r="U78" s="256">
        <f t="shared" si="16"/>
        <v>-100</v>
      </c>
      <c r="V78" s="250">
        <f t="shared" si="14"/>
        <v>0</v>
      </c>
      <c r="W78" s="250"/>
      <c r="X78" s="39"/>
      <c r="Y78" s="49"/>
      <c r="Z78" s="21"/>
      <c r="AA78" s="22"/>
    </row>
    <row r="79" spans="1:27" ht="12" customHeight="1" hidden="1">
      <c r="A79" s="310" t="s">
        <v>31</v>
      </c>
      <c r="B79" s="4" t="s">
        <v>54</v>
      </c>
      <c r="C79" s="40"/>
      <c r="D79" s="219"/>
      <c r="E79" s="214"/>
      <c r="F79" s="219"/>
      <c r="G79" s="214"/>
      <c r="H79" s="354"/>
      <c r="I79" s="219"/>
      <c r="J79" s="224"/>
      <c r="K79" s="214"/>
      <c r="L79" s="223"/>
      <c r="M79" s="219"/>
      <c r="N79" s="223"/>
      <c r="O79" s="223"/>
      <c r="P79" s="223"/>
      <c r="Q79" s="257"/>
      <c r="R79" s="250"/>
      <c r="S79" s="257"/>
      <c r="T79" s="256">
        <f t="shared" si="18"/>
        <v>-100</v>
      </c>
      <c r="U79" s="256">
        <f t="shared" si="16"/>
        <v>-100</v>
      </c>
      <c r="V79" s="250">
        <f t="shared" si="14"/>
        <v>0</v>
      </c>
      <c r="W79" s="250"/>
      <c r="X79" s="39"/>
      <c r="Y79" s="49"/>
      <c r="Z79" s="21"/>
      <c r="AA79" s="22"/>
    </row>
    <row r="80" spans="1:27" ht="12" customHeight="1" hidden="1">
      <c r="A80" s="12"/>
      <c r="B80" s="13" t="s">
        <v>58</v>
      </c>
      <c r="C80" s="40" t="s">
        <v>51</v>
      </c>
      <c r="D80" s="141"/>
      <c r="E80" s="229"/>
      <c r="F80" s="141"/>
      <c r="G80" s="229"/>
      <c r="H80" s="353"/>
      <c r="I80" s="141"/>
      <c r="J80" s="230"/>
      <c r="K80" s="229"/>
      <c r="L80" s="223">
        <f>K80/(I80+1E-133)*100-100</f>
        <v>-100</v>
      </c>
      <c r="M80" s="141"/>
      <c r="N80" s="223">
        <f>M80/(I80+1E-106)*100-100</f>
        <v>-100</v>
      </c>
      <c r="O80" s="223">
        <f t="shared" si="19"/>
        <v>0</v>
      </c>
      <c r="P80" s="217"/>
      <c r="Q80" s="257"/>
      <c r="R80" s="250">
        <f>Q80/(F80+1E-106)*100-100</f>
        <v>-100</v>
      </c>
      <c r="S80" s="257"/>
      <c r="T80" s="256">
        <f t="shared" si="18"/>
        <v>-100</v>
      </c>
      <c r="U80" s="256">
        <f t="shared" si="16"/>
        <v>-100</v>
      </c>
      <c r="V80" s="250">
        <f t="shared" si="14"/>
        <v>0</v>
      </c>
      <c r="W80" s="250"/>
      <c r="X80" s="39"/>
      <c r="Y80" s="49"/>
      <c r="Z80" s="21"/>
      <c r="AA80" s="22"/>
    </row>
    <row r="81" spans="1:27" s="33" customFormat="1" ht="12" customHeight="1" hidden="1">
      <c r="A81" s="3"/>
      <c r="B81" s="4" t="s">
        <v>59</v>
      </c>
      <c r="C81" s="40" t="s">
        <v>60</v>
      </c>
      <c r="D81" s="220"/>
      <c r="E81" s="227">
        <f>(E113-E83*12*E84)/(E80+1E-107)</f>
        <v>0</v>
      </c>
      <c r="F81" s="220"/>
      <c r="G81" s="227">
        <f>(G113-G83*12*G84)/(G80+1E-107)</f>
        <v>0</v>
      </c>
      <c r="H81" s="355"/>
      <c r="I81" s="220"/>
      <c r="J81" s="235"/>
      <c r="K81" s="229"/>
      <c r="L81" s="223">
        <f>K81/(I81+1E-133)*100-100</f>
        <v>-100</v>
      </c>
      <c r="M81" s="220"/>
      <c r="N81" s="223">
        <f>M81/(I81+1E-106)*100-100</f>
        <v>-100</v>
      </c>
      <c r="O81" s="227">
        <f t="shared" si="19"/>
        <v>0</v>
      </c>
      <c r="P81" s="227"/>
      <c r="Q81" s="25"/>
      <c r="R81" s="7">
        <f>Q81/(F81+1E-106)*100-100</f>
        <v>-100</v>
      </c>
      <c r="S81" s="25"/>
      <c r="T81" s="8">
        <f t="shared" si="18"/>
        <v>-100</v>
      </c>
      <c r="U81" s="8">
        <f t="shared" si="16"/>
        <v>-100</v>
      </c>
      <c r="V81" s="9">
        <f t="shared" si="14"/>
        <v>0</v>
      </c>
      <c r="W81" s="9"/>
      <c r="X81" s="43"/>
      <c r="Y81" s="50"/>
      <c r="AA81" s="34"/>
    </row>
    <row r="82" spans="1:27" ht="12" customHeight="1" hidden="1">
      <c r="A82" s="12"/>
      <c r="B82" s="13" t="s">
        <v>61</v>
      </c>
      <c r="C82" s="40" t="s">
        <v>62</v>
      </c>
      <c r="D82" s="141"/>
      <c r="E82" s="229"/>
      <c r="F82" s="141"/>
      <c r="G82" s="229"/>
      <c r="H82" s="353"/>
      <c r="I82" s="141"/>
      <c r="J82" s="230"/>
      <c r="K82" s="229"/>
      <c r="L82" s="223">
        <f>K82/(I82+1E-133)*100-100</f>
        <v>-100</v>
      </c>
      <c r="M82" s="141"/>
      <c r="N82" s="223">
        <f>M82/(I82+1E-106)*100-100</f>
        <v>-100</v>
      </c>
      <c r="O82" s="223">
        <f t="shared" si="19"/>
        <v>0</v>
      </c>
      <c r="P82" s="217"/>
      <c r="Q82" s="257"/>
      <c r="R82" s="250"/>
      <c r="S82" s="257"/>
      <c r="T82" s="256">
        <f t="shared" si="18"/>
        <v>-100</v>
      </c>
      <c r="U82" s="256">
        <f t="shared" si="16"/>
        <v>-100</v>
      </c>
      <c r="V82" s="250">
        <f t="shared" si="14"/>
        <v>0</v>
      </c>
      <c r="W82" s="250"/>
      <c r="X82" s="39"/>
      <c r="Y82" s="49"/>
      <c r="Z82" s="21"/>
      <c r="AA82" s="22"/>
    </row>
    <row r="83" spans="1:27" ht="12" customHeight="1" hidden="1">
      <c r="A83" s="12"/>
      <c r="B83" s="13" t="s">
        <v>63</v>
      </c>
      <c r="C83" s="40" t="s">
        <v>64</v>
      </c>
      <c r="D83" s="141"/>
      <c r="E83" s="229"/>
      <c r="F83" s="141"/>
      <c r="G83" s="229"/>
      <c r="H83" s="353"/>
      <c r="I83" s="141"/>
      <c r="J83" s="230"/>
      <c r="K83" s="229"/>
      <c r="L83" s="223">
        <f>K83/(I83+1E-133)*100-100</f>
        <v>-100</v>
      </c>
      <c r="M83" s="141"/>
      <c r="N83" s="223">
        <f>M83/(I83+1E-106)*100-100</f>
        <v>-100</v>
      </c>
      <c r="O83" s="223">
        <f t="shared" si="19"/>
        <v>0</v>
      </c>
      <c r="P83" s="217"/>
      <c r="Q83" s="257"/>
      <c r="R83" s="250">
        <f>Q83/(F83+1E-106)*100-100</f>
        <v>-100</v>
      </c>
      <c r="S83" s="257"/>
      <c r="T83" s="256">
        <f t="shared" si="18"/>
        <v>-100</v>
      </c>
      <c r="U83" s="256">
        <f t="shared" si="16"/>
        <v>-100</v>
      </c>
      <c r="V83" s="250">
        <f t="shared" si="14"/>
        <v>0</v>
      </c>
      <c r="W83" s="250"/>
      <c r="X83" s="39"/>
      <c r="Y83" s="49"/>
      <c r="Z83" s="21"/>
      <c r="AA83" s="22"/>
    </row>
    <row r="84" spans="1:27" ht="12" customHeight="1" hidden="1">
      <c r="A84" s="12"/>
      <c r="B84" s="13" t="s">
        <v>66</v>
      </c>
      <c r="C84" s="40" t="s">
        <v>67</v>
      </c>
      <c r="D84" s="141"/>
      <c r="E84" s="229"/>
      <c r="F84" s="141"/>
      <c r="G84" s="229"/>
      <c r="H84" s="353"/>
      <c r="I84" s="141"/>
      <c r="J84" s="230"/>
      <c r="K84" s="229"/>
      <c r="L84" s="223">
        <f>K84/(I84+1E-133)*100-100</f>
        <v>-100</v>
      </c>
      <c r="M84" s="141"/>
      <c r="N84" s="223">
        <f>M84/(I84+1E-106)*100-100</f>
        <v>-100</v>
      </c>
      <c r="O84" s="223">
        <f t="shared" si="19"/>
        <v>0</v>
      </c>
      <c r="P84" s="217"/>
      <c r="Q84" s="257"/>
      <c r="R84" s="250">
        <f>Q84/(F84+1E-106)*100-100</f>
        <v>-100</v>
      </c>
      <c r="S84" s="257"/>
      <c r="T84" s="256">
        <f t="shared" si="18"/>
        <v>-100</v>
      </c>
      <c r="U84" s="256">
        <f t="shared" si="16"/>
        <v>-100</v>
      </c>
      <c r="V84" s="250">
        <f t="shared" si="14"/>
        <v>0</v>
      </c>
      <c r="W84" s="250"/>
      <c r="X84" s="39"/>
      <c r="Y84" s="49"/>
      <c r="Z84" s="21"/>
      <c r="AA84" s="22"/>
    </row>
    <row r="85" spans="1:27" ht="12" customHeight="1" hidden="1">
      <c r="A85" s="12" t="s">
        <v>31</v>
      </c>
      <c r="B85" s="4" t="s">
        <v>55</v>
      </c>
      <c r="C85" s="40"/>
      <c r="D85" s="219"/>
      <c r="E85" s="214"/>
      <c r="F85" s="219"/>
      <c r="G85" s="214"/>
      <c r="H85" s="354"/>
      <c r="I85" s="219"/>
      <c r="J85" s="224"/>
      <c r="K85" s="214"/>
      <c r="L85" s="223"/>
      <c r="M85" s="219"/>
      <c r="N85" s="223"/>
      <c r="O85" s="223"/>
      <c r="P85" s="217"/>
      <c r="Q85" s="257"/>
      <c r="R85" s="250"/>
      <c r="S85" s="257"/>
      <c r="T85" s="256">
        <f t="shared" si="18"/>
        <v>-100</v>
      </c>
      <c r="U85" s="256">
        <f t="shared" si="16"/>
        <v>-100</v>
      </c>
      <c r="V85" s="250">
        <f t="shared" si="14"/>
        <v>0</v>
      </c>
      <c r="W85" s="250"/>
      <c r="X85" s="39"/>
      <c r="Y85" s="49"/>
      <c r="Z85" s="21"/>
      <c r="AA85" s="22"/>
    </row>
    <row r="86" spans="1:27" ht="12" customHeight="1" hidden="1">
      <c r="A86" s="12"/>
      <c r="B86" s="13" t="s">
        <v>58</v>
      </c>
      <c r="C86" s="40" t="s">
        <v>51</v>
      </c>
      <c r="D86" s="141"/>
      <c r="E86" s="217"/>
      <c r="F86" s="141"/>
      <c r="G86" s="229"/>
      <c r="H86" s="353"/>
      <c r="I86" s="141"/>
      <c r="J86" s="230"/>
      <c r="K86" s="229"/>
      <c r="L86" s="223">
        <f>K86/(I86+1E-133)*100-100</f>
        <v>-100</v>
      </c>
      <c r="M86" s="141"/>
      <c r="N86" s="223">
        <f>M86/(I86+1E-106)*100-100</f>
        <v>-100</v>
      </c>
      <c r="O86" s="223">
        <f t="shared" si="19"/>
        <v>0</v>
      </c>
      <c r="P86" s="217"/>
      <c r="Q86" s="257"/>
      <c r="R86" s="250">
        <f>Q86/(F86+1E-106)*100-100</f>
        <v>-100</v>
      </c>
      <c r="S86" s="257"/>
      <c r="T86" s="256">
        <f t="shared" si="18"/>
        <v>-100</v>
      </c>
      <c r="U86" s="256">
        <f t="shared" si="16"/>
        <v>-100</v>
      </c>
      <c r="V86" s="250">
        <f t="shared" si="14"/>
        <v>0</v>
      </c>
      <c r="W86" s="250"/>
      <c r="X86" s="39"/>
      <c r="Y86" s="49"/>
      <c r="Z86" s="21"/>
      <c r="AA86" s="22"/>
    </row>
    <row r="87" spans="1:27" s="33" customFormat="1" ht="12" customHeight="1" hidden="1">
      <c r="A87" s="3"/>
      <c r="B87" s="4" t="s">
        <v>59</v>
      </c>
      <c r="C87" s="40" t="s">
        <v>60</v>
      </c>
      <c r="D87" s="220"/>
      <c r="E87" s="227">
        <f>(E114-E89*12*E90)/(E86+1E-107)</f>
        <v>0</v>
      </c>
      <c r="F87" s="220"/>
      <c r="G87" s="227">
        <f>(G114-G89*12*G90)/(G86+1E-107)</f>
        <v>0</v>
      </c>
      <c r="H87" s="355"/>
      <c r="I87" s="220"/>
      <c r="J87" s="235"/>
      <c r="K87" s="229"/>
      <c r="L87" s="223">
        <f>K87/(I87+1E-133)*100-100</f>
        <v>-100</v>
      </c>
      <c r="M87" s="220"/>
      <c r="N87" s="223">
        <f>M87/(I87+1E-106)*100-100</f>
        <v>-100</v>
      </c>
      <c r="O87" s="227">
        <f t="shared" si="19"/>
        <v>0</v>
      </c>
      <c r="P87" s="227"/>
      <c r="Q87" s="25"/>
      <c r="R87" s="7">
        <f>Q87/(F87+1E-106)*100-100</f>
        <v>-100</v>
      </c>
      <c r="S87" s="25"/>
      <c r="T87" s="8">
        <f t="shared" si="18"/>
        <v>-100</v>
      </c>
      <c r="U87" s="8">
        <f t="shared" si="16"/>
        <v>-100</v>
      </c>
      <c r="V87" s="9">
        <f t="shared" si="14"/>
        <v>0</v>
      </c>
      <c r="W87" s="7"/>
      <c r="X87" s="43"/>
      <c r="Y87" s="50"/>
      <c r="AA87" s="34"/>
    </row>
    <row r="88" spans="1:27" ht="12" customHeight="1" hidden="1">
      <c r="A88" s="12"/>
      <c r="B88" s="13" t="s">
        <v>61</v>
      </c>
      <c r="C88" s="40" t="s">
        <v>62</v>
      </c>
      <c r="D88" s="141"/>
      <c r="E88" s="229"/>
      <c r="F88" s="141"/>
      <c r="G88" s="229"/>
      <c r="H88" s="353"/>
      <c r="I88" s="141"/>
      <c r="J88" s="230"/>
      <c r="K88" s="229"/>
      <c r="L88" s="223">
        <f>K88/(I88+1E-133)*100-100</f>
        <v>-100</v>
      </c>
      <c r="M88" s="141"/>
      <c r="N88" s="223">
        <f>M88/(I88+1E-106)*100-100</f>
        <v>-100</v>
      </c>
      <c r="O88" s="223">
        <f t="shared" si="19"/>
        <v>0</v>
      </c>
      <c r="P88" s="217"/>
      <c r="Q88" s="257"/>
      <c r="R88" s="250"/>
      <c r="S88" s="257"/>
      <c r="T88" s="256">
        <f t="shared" si="18"/>
        <v>-100</v>
      </c>
      <c r="U88" s="256">
        <f t="shared" si="16"/>
        <v>-100</v>
      </c>
      <c r="V88" s="250">
        <f t="shared" si="14"/>
        <v>0</v>
      </c>
      <c r="W88" s="250"/>
      <c r="X88" s="39"/>
      <c r="Y88" s="49"/>
      <c r="Z88" s="21"/>
      <c r="AA88" s="22"/>
    </row>
    <row r="89" spans="1:27" ht="12" customHeight="1" hidden="1">
      <c r="A89" s="12"/>
      <c r="B89" s="13" t="s">
        <v>63</v>
      </c>
      <c r="C89" s="40" t="s">
        <v>64</v>
      </c>
      <c r="D89" s="141"/>
      <c r="E89" s="229"/>
      <c r="F89" s="141"/>
      <c r="G89" s="229"/>
      <c r="H89" s="353"/>
      <c r="I89" s="141"/>
      <c r="J89" s="230"/>
      <c r="K89" s="229"/>
      <c r="L89" s="223">
        <f>K89/(I89+1E-133)*100-100</f>
        <v>-100</v>
      </c>
      <c r="M89" s="141"/>
      <c r="N89" s="223">
        <f>M89/(I89+1E-106)*100-100</f>
        <v>-100</v>
      </c>
      <c r="O89" s="223">
        <f t="shared" si="19"/>
        <v>0</v>
      </c>
      <c r="P89" s="217"/>
      <c r="Q89" s="257"/>
      <c r="R89" s="250">
        <f>Q89/(F89+1E-106)*100-100</f>
        <v>-100</v>
      </c>
      <c r="S89" s="257"/>
      <c r="T89" s="256">
        <f t="shared" si="18"/>
        <v>-100</v>
      </c>
      <c r="U89" s="256">
        <f t="shared" si="16"/>
        <v>-100</v>
      </c>
      <c r="V89" s="250">
        <f t="shared" si="14"/>
        <v>0</v>
      </c>
      <c r="W89" s="250"/>
      <c r="X89" s="39"/>
      <c r="Y89" s="49"/>
      <c r="Z89" s="21"/>
      <c r="AA89" s="22"/>
    </row>
    <row r="90" spans="1:27" ht="12" customHeight="1" hidden="1">
      <c r="A90" s="12"/>
      <c r="B90" s="13" t="s">
        <v>66</v>
      </c>
      <c r="C90" s="40" t="s">
        <v>67</v>
      </c>
      <c r="D90" s="141"/>
      <c r="E90" s="229"/>
      <c r="F90" s="141"/>
      <c r="G90" s="229"/>
      <c r="H90" s="353"/>
      <c r="I90" s="141"/>
      <c r="J90" s="230"/>
      <c r="K90" s="229"/>
      <c r="L90" s="223">
        <f>K90/(I90+1E-133)*100-100</f>
        <v>-100</v>
      </c>
      <c r="M90" s="141"/>
      <c r="N90" s="223">
        <f>M90/(I90+1E-106)*100-100</f>
        <v>-100</v>
      </c>
      <c r="O90" s="223">
        <f t="shared" si="19"/>
        <v>0</v>
      </c>
      <c r="P90" s="217"/>
      <c r="Q90" s="257"/>
      <c r="R90" s="250">
        <f>Q90/(F90+1E-106)*100-100</f>
        <v>-100</v>
      </c>
      <c r="S90" s="257"/>
      <c r="T90" s="256">
        <f t="shared" si="18"/>
        <v>-100</v>
      </c>
      <c r="U90" s="256">
        <f t="shared" si="16"/>
        <v>-100</v>
      </c>
      <c r="V90" s="250">
        <f t="shared" si="14"/>
        <v>0</v>
      </c>
      <c r="W90" s="250"/>
      <c r="X90" s="39"/>
      <c r="Y90" s="49"/>
      <c r="Z90" s="21"/>
      <c r="AA90" s="22"/>
    </row>
    <row r="91" spans="1:27" ht="12" customHeight="1" hidden="1">
      <c r="A91" s="310" t="s">
        <v>31</v>
      </c>
      <c r="B91" s="4" t="s">
        <v>56</v>
      </c>
      <c r="C91" s="40"/>
      <c r="D91" s="219"/>
      <c r="E91" s="214"/>
      <c r="F91" s="219"/>
      <c r="G91" s="214"/>
      <c r="H91" s="354"/>
      <c r="I91" s="219"/>
      <c r="J91" s="224"/>
      <c r="K91" s="214"/>
      <c r="L91" s="223"/>
      <c r="M91" s="219"/>
      <c r="N91" s="223"/>
      <c r="O91" s="223"/>
      <c r="P91" s="217"/>
      <c r="Q91" s="257"/>
      <c r="R91" s="250"/>
      <c r="S91" s="257"/>
      <c r="T91" s="256">
        <f t="shared" si="18"/>
        <v>-100</v>
      </c>
      <c r="U91" s="256">
        <f t="shared" si="16"/>
        <v>-100</v>
      </c>
      <c r="V91" s="250">
        <f t="shared" si="14"/>
        <v>0</v>
      </c>
      <c r="W91" s="250"/>
      <c r="X91" s="39"/>
      <c r="Y91" s="49"/>
      <c r="Z91" s="21"/>
      <c r="AA91" s="22"/>
    </row>
    <row r="92" spans="1:27" ht="12" customHeight="1" hidden="1">
      <c r="A92" s="12"/>
      <c r="B92" s="13" t="s">
        <v>58</v>
      </c>
      <c r="C92" s="40" t="s">
        <v>51</v>
      </c>
      <c r="D92" s="141"/>
      <c r="E92" s="229"/>
      <c r="F92" s="141"/>
      <c r="G92" s="229"/>
      <c r="H92" s="353"/>
      <c r="I92" s="141"/>
      <c r="J92" s="230"/>
      <c r="K92" s="229"/>
      <c r="L92" s="223">
        <f>K92/(I92+1E-133)*100-100</f>
        <v>-100</v>
      </c>
      <c r="M92" s="141"/>
      <c r="N92" s="223">
        <f>M92/(I92+1E-106)*100-100</f>
        <v>-100</v>
      </c>
      <c r="O92" s="223">
        <f t="shared" si="19"/>
        <v>0</v>
      </c>
      <c r="P92" s="217"/>
      <c r="Q92" s="257"/>
      <c r="R92" s="250">
        <f>Q92/(F92+1E-106)*100-100</f>
        <v>-100</v>
      </c>
      <c r="S92" s="257"/>
      <c r="T92" s="256">
        <f t="shared" si="18"/>
        <v>-100</v>
      </c>
      <c r="U92" s="256">
        <f t="shared" si="16"/>
        <v>-100</v>
      </c>
      <c r="V92" s="250">
        <f t="shared" si="14"/>
        <v>0</v>
      </c>
      <c r="W92" s="250"/>
      <c r="X92" s="39"/>
      <c r="Y92" s="49"/>
      <c r="Z92" s="21"/>
      <c r="AA92" s="22"/>
    </row>
    <row r="93" spans="1:27" s="33" customFormat="1" ht="12" customHeight="1" hidden="1">
      <c r="A93" s="3"/>
      <c r="B93" s="4" t="s">
        <v>59</v>
      </c>
      <c r="C93" s="40" t="s">
        <v>60</v>
      </c>
      <c r="D93" s="220"/>
      <c r="E93" s="227">
        <f>(E115-E95*12*E96)/(E92+1E-107)</f>
        <v>0</v>
      </c>
      <c r="F93" s="220"/>
      <c r="G93" s="227">
        <f>(G115-G95*12*G96)/(G92+1E-107)</f>
        <v>0</v>
      </c>
      <c r="H93" s="355"/>
      <c r="I93" s="220"/>
      <c r="J93" s="235"/>
      <c r="K93" s="229"/>
      <c r="L93" s="223">
        <f>K93/(I93+1E-133)*100-100</f>
        <v>-100</v>
      </c>
      <c r="M93" s="220"/>
      <c r="N93" s="223">
        <f>M93/(I93+1E-106)*100-100</f>
        <v>-100</v>
      </c>
      <c r="O93" s="227">
        <f t="shared" si="19"/>
        <v>0</v>
      </c>
      <c r="P93" s="227"/>
      <c r="Q93" s="25"/>
      <c r="R93" s="7">
        <f>Q93/(F93+1E-106)*100-100</f>
        <v>-100</v>
      </c>
      <c r="S93" s="25"/>
      <c r="T93" s="8">
        <f t="shared" si="18"/>
        <v>-100</v>
      </c>
      <c r="U93" s="8">
        <f t="shared" si="16"/>
        <v>-100</v>
      </c>
      <c r="V93" s="9">
        <f t="shared" si="14"/>
        <v>0</v>
      </c>
      <c r="W93" s="9"/>
      <c r="X93" s="43"/>
      <c r="Y93" s="50"/>
      <c r="AA93" s="34"/>
    </row>
    <row r="94" spans="1:27" ht="12" customHeight="1" hidden="1">
      <c r="A94" s="12"/>
      <c r="B94" s="13" t="s">
        <v>61</v>
      </c>
      <c r="C94" s="40" t="s">
        <v>62</v>
      </c>
      <c r="D94" s="141"/>
      <c r="E94" s="229"/>
      <c r="F94" s="141"/>
      <c r="G94" s="229"/>
      <c r="H94" s="353"/>
      <c r="I94" s="141"/>
      <c r="J94" s="230"/>
      <c r="K94" s="229"/>
      <c r="L94" s="223">
        <f>K94/(I94+1E-133)*100-100</f>
        <v>-100</v>
      </c>
      <c r="M94" s="141"/>
      <c r="N94" s="223">
        <f>M94/(I94+1E-106)*100-100</f>
        <v>-100</v>
      </c>
      <c r="O94" s="223">
        <f t="shared" si="19"/>
        <v>0</v>
      </c>
      <c r="P94" s="217"/>
      <c r="Q94" s="257"/>
      <c r="R94" s="250"/>
      <c r="S94" s="257"/>
      <c r="T94" s="256">
        <f t="shared" si="18"/>
        <v>-100</v>
      </c>
      <c r="U94" s="256">
        <f t="shared" si="16"/>
        <v>-100</v>
      </c>
      <c r="V94" s="250">
        <f t="shared" si="14"/>
        <v>0</v>
      </c>
      <c r="W94" s="250"/>
      <c r="X94" s="39"/>
      <c r="Y94" s="49"/>
      <c r="Z94" s="21"/>
      <c r="AA94" s="22"/>
    </row>
    <row r="95" spans="1:27" ht="12" customHeight="1" hidden="1">
      <c r="A95" s="12"/>
      <c r="B95" s="13" t="s">
        <v>63</v>
      </c>
      <c r="C95" s="40" t="s">
        <v>64</v>
      </c>
      <c r="D95" s="141"/>
      <c r="E95" s="229"/>
      <c r="F95" s="141"/>
      <c r="G95" s="229"/>
      <c r="H95" s="353"/>
      <c r="I95" s="141"/>
      <c r="J95" s="230"/>
      <c r="K95" s="229"/>
      <c r="L95" s="223">
        <f>K95/(I95+1E-133)*100-100</f>
        <v>-100</v>
      </c>
      <c r="M95" s="141"/>
      <c r="N95" s="223">
        <f>M95/(I95+1E-106)*100-100</f>
        <v>-100</v>
      </c>
      <c r="O95" s="223">
        <f t="shared" si="19"/>
        <v>0</v>
      </c>
      <c r="P95" s="217"/>
      <c r="Q95" s="257"/>
      <c r="R95" s="250">
        <f>Q95/(F95+1E-106)*100-100</f>
        <v>-100</v>
      </c>
      <c r="S95" s="257"/>
      <c r="T95" s="256">
        <f t="shared" si="18"/>
        <v>-100</v>
      </c>
      <c r="U95" s="256">
        <f t="shared" si="16"/>
        <v>-100</v>
      </c>
      <c r="V95" s="250">
        <f t="shared" si="14"/>
        <v>0</v>
      </c>
      <c r="W95" s="250"/>
      <c r="X95" s="39"/>
      <c r="Y95" s="49"/>
      <c r="Z95" s="21"/>
      <c r="AA95" s="22"/>
    </row>
    <row r="96" spans="1:27" ht="12" customHeight="1" hidden="1">
      <c r="A96" s="12"/>
      <c r="B96" s="13" t="s">
        <v>66</v>
      </c>
      <c r="C96" s="40" t="s">
        <v>67</v>
      </c>
      <c r="D96" s="141"/>
      <c r="E96" s="229"/>
      <c r="F96" s="141"/>
      <c r="G96" s="229"/>
      <c r="H96" s="353"/>
      <c r="I96" s="141"/>
      <c r="J96" s="230"/>
      <c r="K96" s="229"/>
      <c r="L96" s="223">
        <f>K96/(I96+1E-133)*100-100</f>
        <v>-100</v>
      </c>
      <c r="M96" s="141"/>
      <c r="N96" s="223">
        <f>M96/(I96+1E-106)*100-100</f>
        <v>-100</v>
      </c>
      <c r="O96" s="223">
        <f t="shared" si="19"/>
        <v>0</v>
      </c>
      <c r="P96" s="217"/>
      <c r="Q96" s="257"/>
      <c r="R96" s="250">
        <f>Q96/(F96+1E-106)*100-100</f>
        <v>-100</v>
      </c>
      <c r="S96" s="257"/>
      <c r="T96" s="256">
        <f t="shared" si="18"/>
        <v>-100</v>
      </c>
      <c r="U96" s="256">
        <f t="shared" si="16"/>
        <v>-100</v>
      </c>
      <c r="V96" s="250">
        <f t="shared" si="14"/>
        <v>0</v>
      </c>
      <c r="W96" s="250"/>
      <c r="X96" s="39"/>
      <c r="Y96" s="49"/>
      <c r="Z96" s="21"/>
      <c r="AA96" s="22"/>
    </row>
    <row r="97" spans="1:27" ht="12" customHeight="1">
      <c r="A97" s="51">
        <v>9</v>
      </c>
      <c r="B97" s="52" t="s">
        <v>68</v>
      </c>
      <c r="C97" s="163"/>
      <c r="D97" s="219"/>
      <c r="E97" s="219"/>
      <c r="F97" s="219"/>
      <c r="G97" s="219"/>
      <c r="H97" s="354"/>
      <c r="I97" s="219"/>
      <c r="J97" s="216"/>
      <c r="K97" s="219"/>
      <c r="L97" s="219"/>
      <c r="M97" s="219"/>
      <c r="N97" s="219"/>
      <c r="O97" s="219"/>
      <c r="P97" s="141"/>
      <c r="Q97" s="258"/>
      <c r="R97" s="259"/>
      <c r="S97" s="258"/>
      <c r="T97" s="260"/>
      <c r="U97" s="260"/>
      <c r="V97" s="261">
        <f t="shared" si="14"/>
        <v>0</v>
      </c>
      <c r="W97" s="259"/>
      <c r="X97" s="143"/>
      <c r="Y97" s="49"/>
      <c r="Z97" s="21"/>
      <c r="AA97" s="22"/>
    </row>
    <row r="98" spans="1:27" ht="12" customHeight="1">
      <c r="A98" s="12"/>
      <c r="B98" s="13" t="s">
        <v>69</v>
      </c>
      <c r="C98" s="40" t="s">
        <v>70</v>
      </c>
      <c r="D98" s="141"/>
      <c r="E98" s="214">
        <f>E99*1000/(E8+1E-104)</f>
        <v>0</v>
      </c>
      <c r="F98" s="141"/>
      <c r="G98" s="214">
        <f>G99*1000/(G8+1E-104)</f>
        <v>0</v>
      </c>
      <c r="H98" s="353">
        <v>0.8009070053316575</v>
      </c>
      <c r="I98" s="141"/>
      <c r="J98" s="235">
        <v>0.3</v>
      </c>
      <c r="K98" s="229">
        <v>1.1</v>
      </c>
      <c r="L98" s="223">
        <f>K98/(I98+1E-133)*100-100</f>
        <v>1.1E+135</v>
      </c>
      <c r="M98" s="141"/>
      <c r="N98" s="223">
        <f>M98/(I98+1E-106)*100-100</f>
        <v>-100</v>
      </c>
      <c r="O98" s="223">
        <f t="shared" si="19"/>
        <v>-1.1</v>
      </c>
      <c r="P98" s="223"/>
      <c r="Q98" s="38">
        <f>F98</f>
        <v>0</v>
      </c>
      <c r="R98" s="16">
        <f>Q98/(F98+1E-106)*100-100</f>
        <v>-100</v>
      </c>
      <c r="S98" s="38">
        <f>Q98</f>
        <v>0</v>
      </c>
      <c r="T98" s="17">
        <f t="shared" si="18"/>
        <v>-100</v>
      </c>
      <c r="U98" s="17">
        <f>S98/(F98+1E-106)*100-100</f>
        <v>-100</v>
      </c>
      <c r="V98" s="16">
        <f>S98-K98</f>
        <v>-1.1</v>
      </c>
      <c r="W98" s="16"/>
      <c r="X98" s="39"/>
      <c r="Y98" s="49"/>
      <c r="Z98" s="21"/>
      <c r="AA98" s="22"/>
    </row>
    <row r="99" spans="1:25" ht="12" customHeight="1">
      <c r="A99" s="12"/>
      <c r="B99" s="13" t="s">
        <v>71</v>
      </c>
      <c r="C99" s="40" t="s">
        <v>72</v>
      </c>
      <c r="D99" s="219">
        <f>D98*D8/1000</f>
        <v>0</v>
      </c>
      <c r="E99" s="229"/>
      <c r="F99" s="219">
        <f>F98*F8/1000</f>
        <v>0</v>
      </c>
      <c r="G99" s="229"/>
      <c r="H99" s="354">
        <v>145.53725219726064</v>
      </c>
      <c r="I99" s="219">
        <f>I98*I8/1000</f>
        <v>0</v>
      </c>
      <c r="J99" s="235">
        <f>J98*J8/1000</f>
        <v>0.055979999999999995</v>
      </c>
      <c r="K99" s="214">
        <f>K98*K8/1000</f>
        <v>0</v>
      </c>
      <c r="L99" s="223">
        <f>K99/(I99+1E-133)*100-100</f>
        <v>-100</v>
      </c>
      <c r="M99" s="219">
        <f>M98*M8/1000</f>
        <v>0</v>
      </c>
      <c r="N99" s="223">
        <f>M99/(I99+1E-106)*100-100</f>
        <v>-100</v>
      </c>
      <c r="O99" s="223">
        <f t="shared" si="19"/>
        <v>0</v>
      </c>
      <c r="P99" s="223"/>
      <c r="Q99" s="38">
        <f>Q98*Q8/1000</f>
        <v>0</v>
      </c>
      <c r="R99" s="16">
        <f>Q99/(F99+1E-106)*100-100</f>
        <v>-100</v>
      </c>
      <c r="S99" s="38">
        <f>S98*S8/1000</f>
        <v>0</v>
      </c>
      <c r="T99" s="17">
        <f t="shared" si="18"/>
        <v>-100</v>
      </c>
      <c r="U99" s="17">
        <f>S99/(F99+1E-106)*100-100</f>
        <v>-100</v>
      </c>
      <c r="V99" s="16">
        <f>S99-K99</f>
        <v>0</v>
      </c>
      <c r="W99" s="16"/>
      <c r="X99" s="362"/>
      <c r="Y99" s="49"/>
    </row>
    <row r="100" spans="1:25" s="33" customFormat="1" ht="12" customHeight="1">
      <c r="A100" s="3"/>
      <c r="B100" s="4" t="s">
        <v>73</v>
      </c>
      <c r="C100" s="40" t="s">
        <v>74</v>
      </c>
      <c r="D100" s="220"/>
      <c r="E100" s="224">
        <f>E116/(E99+1E-108)</f>
        <v>0</v>
      </c>
      <c r="F100" s="220"/>
      <c r="G100" s="224">
        <f>G116/(G99+1E-108)</f>
        <v>0</v>
      </c>
      <c r="H100" s="355">
        <v>12.674111600000002</v>
      </c>
      <c r="I100" s="220"/>
      <c r="J100" s="235">
        <v>13.94</v>
      </c>
      <c r="K100" s="230">
        <v>36.57</v>
      </c>
      <c r="L100" s="223">
        <f>K100/(I100+1E-133)*100-100</f>
        <v>3.657E+136</v>
      </c>
      <c r="M100" s="225"/>
      <c r="N100" s="223">
        <f>M100/(I100+1E-106)*100-100</f>
        <v>-100</v>
      </c>
      <c r="O100" s="227">
        <f t="shared" si="19"/>
        <v>-36.57</v>
      </c>
      <c r="P100" s="227"/>
      <c r="Q100" s="25">
        <f>F100</f>
        <v>0</v>
      </c>
      <c r="R100" s="9">
        <f>Q100/(F100+1E-106)*100-100</f>
        <v>-100</v>
      </c>
      <c r="S100" s="25">
        <f>Q100</f>
        <v>0</v>
      </c>
      <c r="T100" s="8">
        <f t="shared" si="18"/>
        <v>-100</v>
      </c>
      <c r="U100" s="8">
        <f>S100/(F100+1E-106)*100-100</f>
        <v>-100</v>
      </c>
      <c r="V100" s="9">
        <f>S100-K100</f>
        <v>-36.57</v>
      </c>
      <c r="W100" s="9"/>
      <c r="X100" s="359"/>
      <c r="Y100" s="50"/>
    </row>
    <row r="101" spans="1:25" ht="16.5" customHeight="1">
      <c r="A101" s="166"/>
      <c r="B101" s="167" t="s">
        <v>75</v>
      </c>
      <c r="C101" s="168"/>
      <c r="D101" s="231"/>
      <c r="E101" s="231"/>
      <c r="F101" s="231"/>
      <c r="G101" s="231"/>
      <c r="H101" s="363"/>
      <c r="I101" s="231"/>
      <c r="J101" s="228"/>
      <c r="K101" s="231"/>
      <c r="L101" s="182"/>
      <c r="M101" s="231"/>
      <c r="N101" s="182"/>
      <c r="O101" s="182"/>
      <c r="P101" s="231"/>
      <c r="Q101" s="262"/>
      <c r="R101" s="263"/>
      <c r="S101" s="262"/>
      <c r="T101" s="264"/>
      <c r="U101" s="264"/>
      <c r="V101" s="265"/>
      <c r="W101" s="263"/>
      <c r="X101" s="173"/>
      <c r="Y101" s="49"/>
    </row>
    <row r="102" spans="1:25" ht="12" customHeight="1">
      <c r="A102" s="174">
        <v>10</v>
      </c>
      <c r="B102" s="167" t="s">
        <v>76</v>
      </c>
      <c r="C102" s="168" t="s">
        <v>77</v>
      </c>
      <c r="D102" s="181">
        <f>SUMIF(D104:D110,"&gt;0")</f>
        <v>0</v>
      </c>
      <c r="E102" s="181">
        <f>SUMIF(E104:E110,"&gt;0")</f>
        <v>0</v>
      </c>
      <c r="F102" s="181">
        <f>SUMIF(F104:F110,"&gt;0")</f>
        <v>0</v>
      </c>
      <c r="G102" s="181">
        <f>SUMIF(G104:G110,"&gt;0")</f>
        <v>0</v>
      </c>
      <c r="H102" s="364">
        <v>97323.14903712942</v>
      </c>
      <c r="I102" s="181">
        <f>SUMIF(I104:I110,"&gt;0")</f>
        <v>0</v>
      </c>
      <c r="J102" s="266">
        <f>J104</f>
        <v>95.8758</v>
      </c>
      <c r="K102" s="181">
        <f>K104+K105+K106+K107+K108+K109+K110</f>
        <v>0</v>
      </c>
      <c r="L102" s="182">
        <f>K102/(I102+1E-133)*100-100</f>
        <v>-100</v>
      </c>
      <c r="M102" s="181">
        <f>SUMIF(M104:M110,"&gt;0")</f>
        <v>0</v>
      </c>
      <c r="N102" s="182">
        <f>M102/(I102+1E-106)*100-100</f>
        <v>-100</v>
      </c>
      <c r="O102" s="181">
        <f aca="true" t="shared" si="20" ref="O102:O125">M102-K102</f>
        <v>0</v>
      </c>
      <c r="P102" s="181">
        <f>M102/($L$163+1E-103)*100</f>
        <v>0</v>
      </c>
      <c r="Q102" s="172">
        <f>SUMIF(Q104:Q110,"&gt;0")</f>
        <v>0</v>
      </c>
      <c r="R102" s="172">
        <f>Q102/(F102+1E-106)*100-100</f>
        <v>-100</v>
      </c>
      <c r="S102" s="172">
        <f>SUMIF(S104:S110,"&gt;0")</f>
        <v>0</v>
      </c>
      <c r="T102" s="171">
        <f t="shared" si="18"/>
        <v>-100</v>
      </c>
      <c r="U102" s="171">
        <f>S102/(F102+1E-106)*100-100</f>
        <v>-100</v>
      </c>
      <c r="V102" s="172">
        <f aca="true" t="shared" si="21" ref="V102:V125">S102-K102</f>
        <v>0</v>
      </c>
      <c r="W102" s="175" t="e">
        <f aca="true" t="shared" si="22" ref="W102:W125">S102/($R$163+1E-103)*100</f>
        <v>#REF!</v>
      </c>
      <c r="X102" s="365"/>
      <c r="Y102" s="49"/>
    </row>
    <row r="103" spans="1:25" ht="12" customHeight="1">
      <c r="A103" s="174"/>
      <c r="B103" s="167"/>
      <c r="C103" s="168"/>
      <c r="D103" s="181"/>
      <c r="E103" s="181"/>
      <c r="F103" s="181"/>
      <c r="G103" s="181"/>
      <c r="H103" s="366"/>
      <c r="I103" s="181"/>
      <c r="J103" s="266"/>
      <c r="K103" s="181"/>
      <c r="L103" s="182"/>
      <c r="M103" s="181"/>
      <c r="N103" s="182"/>
      <c r="O103" s="181"/>
      <c r="P103" s="181"/>
      <c r="Q103" s="172"/>
      <c r="R103" s="172"/>
      <c r="S103" s="172"/>
      <c r="T103" s="171"/>
      <c r="U103" s="171"/>
      <c r="V103" s="172"/>
      <c r="W103" s="175"/>
      <c r="X103" s="365"/>
      <c r="Y103" s="49"/>
    </row>
    <row r="104" spans="1:25" ht="12" customHeight="1">
      <c r="A104" s="12" t="s">
        <v>31</v>
      </c>
      <c r="B104" s="13" t="s">
        <v>78</v>
      </c>
      <c r="C104" s="40" t="s">
        <v>77</v>
      </c>
      <c r="D104" s="219">
        <f>D30*D31/1000</f>
        <v>0</v>
      </c>
      <c r="E104" s="229"/>
      <c r="F104" s="219">
        <f>F30*F31/1000</f>
        <v>0</v>
      </c>
      <c r="G104" s="229"/>
      <c r="H104" s="354">
        <v>88035.60776715573</v>
      </c>
      <c r="I104" s="219">
        <f>I30*I31/1000</f>
        <v>0</v>
      </c>
      <c r="J104" s="230">
        <f>J30*J31/1000</f>
        <v>95.8758</v>
      </c>
      <c r="K104" s="214">
        <f>K30*K31/1000</f>
        <v>0</v>
      </c>
      <c r="L104" s="223">
        <f aca="true" t="shared" si="23" ref="L104:L127">K104/(I104+1E-133)*100-100</f>
        <v>-100</v>
      </c>
      <c r="M104" s="219">
        <f>M30*M31/1000</f>
        <v>0</v>
      </c>
      <c r="N104" s="223">
        <f aca="true" t="shared" si="24" ref="N104:N127">M104/(I104+1E-106)*100-100</f>
        <v>-100</v>
      </c>
      <c r="O104" s="223">
        <f t="shared" si="20"/>
        <v>0</v>
      </c>
      <c r="P104" s="223"/>
      <c r="Q104" s="249">
        <f>Q30*Q31/1000</f>
        <v>0</v>
      </c>
      <c r="R104" s="250">
        <f aca="true" t="shared" si="25" ref="R104:R125">Q104/(F104+1E-106)*100-100</f>
        <v>-100</v>
      </c>
      <c r="S104" s="249">
        <f>S30*S31/1000</f>
        <v>0</v>
      </c>
      <c r="T104" s="256">
        <f t="shared" si="18"/>
        <v>-100</v>
      </c>
      <c r="U104" s="256">
        <f aca="true" t="shared" si="26" ref="U104:U127">S104/(F104+1E-106)*100-100</f>
        <v>-100</v>
      </c>
      <c r="V104" s="250">
        <f t="shared" si="21"/>
        <v>0</v>
      </c>
      <c r="W104" s="267" t="e">
        <f t="shared" si="22"/>
        <v>#REF!</v>
      </c>
      <c r="X104" s="367"/>
      <c r="Y104" s="49"/>
    </row>
    <row r="105" spans="1:25" ht="12" customHeight="1" hidden="1">
      <c r="A105" s="12" t="s">
        <v>31</v>
      </c>
      <c r="B105" s="13" t="s">
        <v>79</v>
      </c>
      <c r="C105" s="40" t="s">
        <v>77</v>
      </c>
      <c r="D105" s="219">
        <f>D36*D37/1000</f>
        <v>0</v>
      </c>
      <c r="E105" s="229"/>
      <c r="F105" s="219">
        <f>F36*F37/1000</f>
        <v>0</v>
      </c>
      <c r="G105" s="229"/>
      <c r="H105" s="354">
        <v>8403.65991997762</v>
      </c>
      <c r="I105" s="219">
        <f>I36*I37/1000</f>
        <v>0</v>
      </c>
      <c r="J105" s="230"/>
      <c r="K105" s="214">
        <f>K36*K37/1000</f>
        <v>0</v>
      </c>
      <c r="L105" s="223">
        <f t="shared" si="23"/>
        <v>-100</v>
      </c>
      <c r="M105" s="219">
        <f>M36*M37/1000</f>
        <v>0</v>
      </c>
      <c r="N105" s="223">
        <f t="shared" si="24"/>
        <v>-100</v>
      </c>
      <c r="O105" s="223">
        <f t="shared" si="20"/>
        <v>0</v>
      </c>
      <c r="P105" s="223"/>
      <c r="Q105" s="249">
        <f>Q36*Q37/1000</f>
        <v>0</v>
      </c>
      <c r="R105" s="250">
        <f t="shared" si="25"/>
        <v>-100</v>
      </c>
      <c r="S105" s="249">
        <f>S36*S37/1000</f>
        <v>0</v>
      </c>
      <c r="T105" s="251">
        <f t="shared" si="18"/>
        <v>-100</v>
      </c>
      <c r="U105" s="251">
        <f t="shared" si="26"/>
        <v>-100</v>
      </c>
      <c r="V105" s="250">
        <f t="shared" si="21"/>
        <v>0</v>
      </c>
      <c r="W105" s="267" t="e">
        <f t="shared" si="22"/>
        <v>#REF!</v>
      </c>
      <c r="X105" s="367"/>
      <c r="Y105" s="49"/>
    </row>
    <row r="106" spans="1:25" ht="12" customHeight="1" hidden="1">
      <c r="A106" s="12" t="s">
        <v>31</v>
      </c>
      <c r="B106" s="13" t="s">
        <v>80</v>
      </c>
      <c r="C106" s="40" t="s">
        <v>77</v>
      </c>
      <c r="D106" s="219">
        <f>D42*D43/1000</f>
        <v>0</v>
      </c>
      <c r="E106" s="229"/>
      <c r="F106" s="219">
        <f>F42*F43/1000</f>
        <v>0</v>
      </c>
      <c r="G106" s="229"/>
      <c r="H106" s="354">
        <v>0</v>
      </c>
      <c r="I106" s="219">
        <f>I42*I43/1000</f>
        <v>0</v>
      </c>
      <c r="J106" s="230"/>
      <c r="K106" s="214">
        <f>K42*K43/1000</f>
        <v>0</v>
      </c>
      <c r="L106" s="223">
        <f t="shared" si="23"/>
        <v>-100</v>
      </c>
      <c r="M106" s="219">
        <f>M42*M43/1000</f>
        <v>0</v>
      </c>
      <c r="N106" s="223">
        <f t="shared" si="24"/>
        <v>-100</v>
      </c>
      <c r="O106" s="223">
        <f t="shared" si="20"/>
        <v>0</v>
      </c>
      <c r="P106" s="223"/>
      <c r="Q106" s="249">
        <f>Q42*Q43/1000</f>
        <v>0</v>
      </c>
      <c r="R106" s="250">
        <f t="shared" si="25"/>
        <v>-100</v>
      </c>
      <c r="S106" s="249">
        <f>S42*S43/1000</f>
        <v>0</v>
      </c>
      <c r="T106" s="251">
        <f t="shared" si="18"/>
        <v>-100</v>
      </c>
      <c r="U106" s="251">
        <f t="shared" si="26"/>
        <v>-100</v>
      </c>
      <c r="V106" s="250">
        <f t="shared" si="21"/>
        <v>0</v>
      </c>
      <c r="W106" s="267" t="e">
        <f t="shared" si="22"/>
        <v>#REF!</v>
      </c>
      <c r="X106" s="367"/>
      <c r="Y106" s="49"/>
    </row>
    <row r="107" spans="1:25" ht="12" customHeight="1" hidden="1">
      <c r="A107" s="12" t="s">
        <v>31</v>
      </c>
      <c r="B107" s="13" t="s">
        <v>81</v>
      </c>
      <c r="C107" s="40" t="s">
        <v>77</v>
      </c>
      <c r="D107" s="219">
        <f>D48*D49/1000</f>
        <v>0</v>
      </c>
      <c r="E107" s="229"/>
      <c r="F107" s="219">
        <f>F48*F49/1000</f>
        <v>0</v>
      </c>
      <c r="G107" s="229"/>
      <c r="H107" s="354">
        <v>883.8813499960603</v>
      </c>
      <c r="I107" s="219">
        <f>I48*I49/1000</f>
        <v>0</v>
      </c>
      <c r="J107" s="230"/>
      <c r="K107" s="214">
        <f>K48*K49/1000</f>
        <v>0</v>
      </c>
      <c r="L107" s="223">
        <f t="shared" si="23"/>
        <v>-100</v>
      </c>
      <c r="M107" s="219">
        <f>M48*M49/1000</f>
        <v>0</v>
      </c>
      <c r="N107" s="223">
        <f t="shared" si="24"/>
        <v>-100</v>
      </c>
      <c r="O107" s="223">
        <f t="shared" si="20"/>
        <v>0</v>
      </c>
      <c r="P107" s="223"/>
      <c r="Q107" s="249">
        <f>Q48*Q49/1000</f>
        <v>0</v>
      </c>
      <c r="R107" s="250">
        <f t="shared" si="25"/>
        <v>-100</v>
      </c>
      <c r="S107" s="249">
        <f>S48*S49/1000</f>
        <v>0</v>
      </c>
      <c r="T107" s="251">
        <f t="shared" si="18"/>
        <v>-100</v>
      </c>
      <c r="U107" s="251">
        <f t="shared" si="26"/>
        <v>-100</v>
      </c>
      <c r="V107" s="250">
        <f t="shared" si="21"/>
        <v>0</v>
      </c>
      <c r="W107" s="267" t="e">
        <f t="shared" si="22"/>
        <v>#REF!</v>
      </c>
      <c r="X107" s="367"/>
      <c r="Y107" s="49"/>
    </row>
    <row r="108" spans="1:25" ht="12" customHeight="1" hidden="1">
      <c r="A108" s="12" t="s">
        <v>31</v>
      </c>
      <c r="B108" s="13" t="s">
        <v>82</v>
      </c>
      <c r="C108" s="40" t="s">
        <v>77</v>
      </c>
      <c r="D108" s="219">
        <f>D54*D55/1000</f>
        <v>0</v>
      </c>
      <c r="E108" s="229"/>
      <c r="F108" s="219">
        <f>F54*F55/1000</f>
        <v>0</v>
      </c>
      <c r="G108" s="229"/>
      <c r="H108" s="354">
        <v>0</v>
      </c>
      <c r="I108" s="219">
        <f>I54*I55/1000</f>
        <v>0</v>
      </c>
      <c r="J108" s="230"/>
      <c r="K108" s="214">
        <f>K54*K55/1000</f>
        <v>0</v>
      </c>
      <c r="L108" s="223">
        <f t="shared" si="23"/>
        <v>-100</v>
      </c>
      <c r="M108" s="219">
        <f>M54*M55/1000</f>
        <v>0</v>
      </c>
      <c r="N108" s="223">
        <f t="shared" si="24"/>
        <v>-100</v>
      </c>
      <c r="O108" s="223">
        <f t="shared" si="20"/>
        <v>0</v>
      </c>
      <c r="P108" s="223"/>
      <c r="Q108" s="249">
        <f>Q54*Q55/1000</f>
        <v>0</v>
      </c>
      <c r="R108" s="250">
        <f t="shared" si="25"/>
        <v>-100</v>
      </c>
      <c r="S108" s="249">
        <f>S54*S55/1000</f>
        <v>0</v>
      </c>
      <c r="T108" s="251">
        <f t="shared" si="18"/>
        <v>-100</v>
      </c>
      <c r="U108" s="251">
        <f t="shared" si="26"/>
        <v>-100</v>
      </c>
      <c r="V108" s="250">
        <f t="shared" si="21"/>
        <v>0</v>
      </c>
      <c r="W108" s="267" t="e">
        <f t="shared" si="22"/>
        <v>#REF!</v>
      </c>
      <c r="X108" s="367"/>
      <c r="Y108" s="49"/>
    </row>
    <row r="109" spans="1:25" ht="12" customHeight="1" hidden="1">
      <c r="A109" s="12" t="s">
        <v>31</v>
      </c>
      <c r="B109" s="13" t="s">
        <v>83</v>
      </c>
      <c r="C109" s="40" t="s">
        <v>77</v>
      </c>
      <c r="D109" s="219">
        <f>D60*D61/1000</f>
        <v>0</v>
      </c>
      <c r="E109" s="229"/>
      <c r="F109" s="219">
        <f>F60*F61/1000</f>
        <v>0</v>
      </c>
      <c r="G109" s="229"/>
      <c r="H109" s="354">
        <v>0</v>
      </c>
      <c r="I109" s="219">
        <f>I60*I61/1000</f>
        <v>0</v>
      </c>
      <c r="J109" s="230"/>
      <c r="K109" s="214">
        <f>K60*K61/1000</f>
        <v>0</v>
      </c>
      <c r="L109" s="223">
        <f t="shared" si="23"/>
        <v>-100</v>
      </c>
      <c r="M109" s="219">
        <f>M60*M61/1000</f>
        <v>0</v>
      </c>
      <c r="N109" s="223">
        <f t="shared" si="24"/>
        <v>-100</v>
      </c>
      <c r="O109" s="223">
        <f t="shared" si="20"/>
        <v>0</v>
      </c>
      <c r="P109" s="223"/>
      <c r="Q109" s="249">
        <f>Q60*Q61/1000</f>
        <v>0</v>
      </c>
      <c r="R109" s="250">
        <f t="shared" si="25"/>
        <v>-100</v>
      </c>
      <c r="S109" s="249">
        <f>S60*S61/1000</f>
        <v>0</v>
      </c>
      <c r="T109" s="251">
        <f t="shared" si="18"/>
        <v>-100</v>
      </c>
      <c r="U109" s="251">
        <f t="shared" si="26"/>
        <v>-100</v>
      </c>
      <c r="V109" s="250">
        <f t="shared" si="21"/>
        <v>0</v>
      </c>
      <c r="W109" s="267" t="e">
        <f t="shared" si="22"/>
        <v>#REF!</v>
      </c>
      <c r="X109" s="367"/>
      <c r="Y109" s="49"/>
    </row>
    <row r="110" spans="1:25" ht="12" customHeight="1" hidden="1">
      <c r="A110" s="12" t="s">
        <v>31</v>
      </c>
      <c r="B110" s="13" t="s">
        <v>84</v>
      </c>
      <c r="C110" s="40" t="s">
        <v>77</v>
      </c>
      <c r="D110" s="219">
        <f>D66*D67/1000</f>
        <v>0</v>
      </c>
      <c r="E110" s="229"/>
      <c r="F110" s="219">
        <f>F66*F67/1000</f>
        <v>0</v>
      </c>
      <c r="G110" s="229"/>
      <c r="H110" s="354">
        <v>0</v>
      </c>
      <c r="I110" s="219">
        <f>I66*I67/1000</f>
        <v>0</v>
      </c>
      <c r="J110" s="230"/>
      <c r="K110" s="214">
        <f>K66*K67/1000</f>
        <v>0</v>
      </c>
      <c r="L110" s="223">
        <f t="shared" si="23"/>
        <v>-100</v>
      </c>
      <c r="M110" s="219">
        <f>M66*M67/1000</f>
        <v>0</v>
      </c>
      <c r="N110" s="223">
        <f t="shared" si="24"/>
        <v>-100</v>
      </c>
      <c r="O110" s="223">
        <f t="shared" si="20"/>
        <v>0</v>
      </c>
      <c r="P110" s="223"/>
      <c r="Q110" s="249">
        <f>Q66*Q67/1000</f>
        <v>0</v>
      </c>
      <c r="R110" s="250">
        <f t="shared" si="25"/>
        <v>-100</v>
      </c>
      <c r="S110" s="249">
        <f>S66*S67/1000</f>
        <v>0</v>
      </c>
      <c r="T110" s="251">
        <f t="shared" si="18"/>
        <v>-100</v>
      </c>
      <c r="U110" s="251">
        <f t="shared" si="26"/>
        <v>-100</v>
      </c>
      <c r="V110" s="250">
        <f t="shared" si="21"/>
        <v>0</v>
      </c>
      <c r="W110" s="267" t="e">
        <f t="shared" si="22"/>
        <v>#REF!</v>
      </c>
      <c r="X110" s="367"/>
      <c r="Y110" s="49"/>
    </row>
    <row r="111" spans="1:25" s="33" customFormat="1" ht="12" customHeight="1">
      <c r="A111" s="174">
        <v>11</v>
      </c>
      <c r="B111" s="167" t="s">
        <v>49</v>
      </c>
      <c r="C111" s="168" t="s">
        <v>77</v>
      </c>
      <c r="D111" s="181">
        <f>D112+D113+D114+D115</f>
        <v>0</v>
      </c>
      <c r="E111" s="181">
        <f>E112+E113+E114+E115</f>
        <v>0</v>
      </c>
      <c r="F111" s="181">
        <f>F112+F113+F114+F115</f>
        <v>0</v>
      </c>
      <c r="G111" s="181">
        <f>G112+G113+G114+G115</f>
        <v>0</v>
      </c>
      <c r="H111" s="364">
        <v>24682.34021118324</v>
      </c>
      <c r="I111" s="181">
        <f>I112+I113+I114+I115</f>
        <v>0</v>
      </c>
      <c r="J111" s="266">
        <f>J74*J75</f>
        <v>14.949</v>
      </c>
      <c r="K111" s="181">
        <f>K112+K113+K114+K115</f>
        <v>0</v>
      </c>
      <c r="L111" s="182">
        <f t="shared" si="23"/>
        <v>-100</v>
      </c>
      <c r="M111" s="181">
        <f>M112+M113+M114+M115</f>
        <v>0</v>
      </c>
      <c r="N111" s="182">
        <f t="shared" si="24"/>
        <v>-100</v>
      </c>
      <c r="O111" s="181">
        <f t="shared" si="20"/>
        <v>0</v>
      </c>
      <c r="P111" s="181">
        <f>M111/($L$163+1E-103)*100</f>
        <v>0</v>
      </c>
      <c r="Q111" s="172" t="e">
        <f>#REF!+#REF!</f>
        <v>#REF!</v>
      </c>
      <c r="R111" s="172" t="e">
        <f t="shared" si="25"/>
        <v>#REF!</v>
      </c>
      <c r="S111" s="172" t="e">
        <f>#REF!+#REF!</f>
        <v>#REF!</v>
      </c>
      <c r="T111" s="171" t="e">
        <f t="shared" si="18"/>
        <v>#REF!</v>
      </c>
      <c r="U111" s="171" t="e">
        <f t="shared" si="26"/>
        <v>#REF!</v>
      </c>
      <c r="V111" s="172" t="e">
        <f t="shared" si="21"/>
        <v>#REF!</v>
      </c>
      <c r="W111" s="175" t="e">
        <f t="shared" si="22"/>
        <v>#REF!</v>
      </c>
      <c r="X111" s="368"/>
      <c r="Y111" s="50"/>
    </row>
    <row r="112" spans="1:26" ht="12" customHeight="1">
      <c r="A112" s="12" t="s">
        <v>31</v>
      </c>
      <c r="B112" s="13" t="s">
        <v>85</v>
      </c>
      <c r="C112" s="40" t="s">
        <v>77</v>
      </c>
      <c r="D112" s="219">
        <f>D74*D75+D77*12*D78</f>
        <v>0</v>
      </c>
      <c r="E112" s="229"/>
      <c r="F112" s="219">
        <f>F74*F75+F77*12*F78</f>
        <v>0</v>
      </c>
      <c r="G112" s="229"/>
      <c r="H112" s="354">
        <v>24682.34021118324</v>
      </c>
      <c r="I112" s="219">
        <f>I74*I75+I77*12*I78</f>
        <v>0</v>
      </c>
      <c r="J112" s="230">
        <v>14.95</v>
      </c>
      <c r="K112" s="214">
        <f>K74*K75+K77*12*K78</f>
        <v>0</v>
      </c>
      <c r="L112" s="223">
        <f t="shared" si="23"/>
        <v>-100</v>
      </c>
      <c r="M112" s="219">
        <f>M74*M75+M77*12*M78</f>
        <v>0</v>
      </c>
      <c r="N112" s="223">
        <f t="shared" si="24"/>
        <v>-100</v>
      </c>
      <c r="O112" s="223">
        <f t="shared" si="20"/>
        <v>0</v>
      </c>
      <c r="P112" s="223"/>
      <c r="Q112" s="249"/>
      <c r="R112" s="250">
        <f t="shared" si="25"/>
        <v>-100</v>
      </c>
      <c r="S112" s="249"/>
      <c r="T112" s="256">
        <f t="shared" si="18"/>
        <v>-100</v>
      </c>
      <c r="U112" s="256">
        <f t="shared" si="26"/>
        <v>-100</v>
      </c>
      <c r="V112" s="250">
        <f t="shared" si="21"/>
        <v>0</v>
      </c>
      <c r="W112" s="267" t="e">
        <f t="shared" si="22"/>
        <v>#REF!</v>
      </c>
      <c r="X112" s="369"/>
      <c r="Y112" s="49"/>
      <c r="Z112" s="21"/>
    </row>
    <row r="113" spans="1:26" ht="12" customHeight="1" hidden="1">
      <c r="A113" s="12" t="s">
        <v>31</v>
      </c>
      <c r="B113" s="13" t="s">
        <v>86</v>
      </c>
      <c r="C113" s="40" t="s">
        <v>77</v>
      </c>
      <c r="D113" s="219">
        <f>D80*D81+D83*12*D84</f>
        <v>0</v>
      </c>
      <c r="E113" s="229"/>
      <c r="F113" s="219">
        <f>F80*F81+F83*12*F84</f>
        <v>0</v>
      </c>
      <c r="G113" s="229"/>
      <c r="H113" s="354">
        <v>0</v>
      </c>
      <c r="I113" s="219">
        <f>I80*I81+I83*12*I84</f>
        <v>0</v>
      </c>
      <c r="J113" s="230"/>
      <c r="K113" s="214">
        <f>K80*K81+K83*12*K84</f>
        <v>0</v>
      </c>
      <c r="L113" s="223">
        <f t="shared" si="23"/>
        <v>-100</v>
      </c>
      <c r="M113" s="219">
        <f>M80*M81+M83*12*M84</f>
        <v>0</v>
      </c>
      <c r="N113" s="223">
        <f t="shared" si="24"/>
        <v>-100</v>
      </c>
      <c r="O113" s="223">
        <f t="shared" si="20"/>
        <v>0</v>
      </c>
      <c r="P113" s="223"/>
      <c r="Q113" s="249"/>
      <c r="R113" s="250">
        <f t="shared" si="25"/>
        <v>-100</v>
      </c>
      <c r="S113" s="249"/>
      <c r="T113" s="251">
        <f t="shared" si="18"/>
        <v>-100</v>
      </c>
      <c r="U113" s="251">
        <f t="shared" si="26"/>
        <v>-100</v>
      </c>
      <c r="V113" s="250">
        <f t="shared" si="21"/>
        <v>0</v>
      </c>
      <c r="W113" s="267" t="e">
        <f t="shared" si="22"/>
        <v>#REF!</v>
      </c>
      <c r="X113" s="369"/>
      <c r="Y113" s="49"/>
      <c r="Z113" s="21"/>
    </row>
    <row r="114" spans="1:26" ht="12" customHeight="1" hidden="1">
      <c r="A114" s="12" t="s">
        <v>31</v>
      </c>
      <c r="B114" s="13" t="s">
        <v>87</v>
      </c>
      <c r="C114" s="40" t="s">
        <v>77</v>
      </c>
      <c r="D114" s="219">
        <f>D86*D87+D89*12*D90</f>
        <v>0</v>
      </c>
      <c r="E114" s="229"/>
      <c r="F114" s="219">
        <f>F86*F87+F89*12*F90</f>
        <v>0</v>
      </c>
      <c r="G114" s="229"/>
      <c r="H114" s="354">
        <v>0</v>
      </c>
      <c r="I114" s="219">
        <f>I86*I87+I89*12*I90</f>
        <v>0</v>
      </c>
      <c r="J114" s="230"/>
      <c r="K114" s="214">
        <f>K86*K87+K89*12*K90</f>
        <v>0</v>
      </c>
      <c r="L114" s="223">
        <f t="shared" si="23"/>
        <v>-100</v>
      </c>
      <c r="M114" s="219">
        <f>M86*M87+M89*12*M90</f>
        <v>0</v>
      </c>
      <c r="N114" s="223">
        <f t="shared" si="24"/>
        <v>-100</v>
      </c>
      <c r="O114" s="223">
        <f t="shared" si="20"/>
        <v>0</v>
      </c>
      <c r="P114" s="223"/>
      <c r="Q114" s="249"/>
      <c r="R114" s="250">
        <f t="shared" si="25"/>
        <v>-100</v>
      </c>
      <c r="S114" s="249"/>
      <c r="T114" s="251">
        <f t="shared" si="18"/>
        <v>-100</v>
      </c>
      <c r="U114" s="251">
        <f t="shared" si="26"/>
        <v>-100</v>
      </c>
      <c r="V114" s="250">
        <f t="shared" si="21"/>
        <v>0</v>
      </c>
      <c r="W114" s="267" t="e">
        <f t="shared" si="22"/>
        <v>#REF!</v>
      </c>
      <c r="X114" s="369"/>
      <c r="Y114" s="49"/>
      <c r="Z114" s="21"/>
    </row>
    <row r="115" spans="1:26" ht="12" customHeight="1" hidden="1">
      <c r="A115" s="12" t="s">
        <v>31</v>
      </c>
      <c r="B115" s="13" t="s">
        <v>88</v>
      </c>
      <c r="C115" s="40" t="s">
        <v>77</v>
      </c>
      <c r="D115" s="219">
        <f>D92*D93+D95*12*D96</f>
        <v>0</v>
      </c>
      <c r="E115" s="229"/>
      <c r="F115" s="219">
        <f>F92*F93+F95*12*F96</f>
        <v>0</v>
      </c>
      <c r="G115" s="229"/>
      <c r="H115" s="354">
        <v>0</v>
      </c>
      <c r="I115" s="219">
        <f>I92*I93+I95*12*I96</f>
        <v>0</v>
      </c>
      <c r="J115" s="230"/>
      <c r="K115" s="214">
        <f>K92*K93+K95*12*K96</f>
        <v>0</v>
      </c>
      <c r="L115" s="223">
        <f t="shared" si="23"/>
        <v>-100</v>
      </c>
      <c r="M115" s="219">
        <f>M92*M93+M95*12*M96</f>
        <v>0</v>
      </c>
      <c r="N115" s="223">
        <f t="shared" si="24"/>
        <v>-100</v>
      </c>
      <c r="O115" s="223">
        <f t="shared" si="20"/>
        <v>0</v>
      </c>
      <c r="P115" s="223"/>
      <c r="Q115" s="249"/>
      <c r="R115" s="250">
        <f t="shared" si="25"/>
        <v>-100</v>
      </c>
      <c r="S115" s="249"/>
      <c r="T115" s="251">
        <f t="shared" si="18"/>
        <v>-100</v>
      </c>
      <c r="U115" s="251">
        <f t="shared" si="26"/>
        <v>-100</v>
      </c>
      <c r="V115" s="250">
        <f t="shared" si="21"/>
        <v>0</v>
      </c>
      <c r="W115" s="267" t="e">
        <f t="shared" si="22"/>
        <v>#REF!</v>
      </c>
      <c r="X115" s="369"/>
      <c r="Y115" s="49"/>
      <c r="Z115" s="21"/>
    </row>
    <row r="116" spans="1:25" s="33" customFormat="1" ht="12" customHeight="1">
      <c r="A116" s="174">
        <v>12</v>
      </c>
      <c r="B116" s="167" t="s">
        <v>68</v>
      </c>
      <c r="C116" s="176" t="s">
        <v>77</v>
      </c>
      <c r="D116" s="181">
        <f>D100*D99</f>
        <v>0</v>
      </c>
      <c r="E116" s="228"/>
      <c r="F116" s="181">
        <f>F100*F99</f>
        <v>0</v>
      </c>
      <c r="G116" s="228"/>
      <c r="H116" s="364">
        <v>1844.5553763054268</v>
      </c>
      <c r="I116" s="181">
        <f>I100*I99</f>
        <v>0</v>
      </c>
      <c r="J116" s="266">
        <f>J99*J100</f>
        <v>0.7803611999999999</v>
      </c>
      <c r="K116" s="181">
        <f>K100*K99</f>
        <v>0</v>
      </c>
      <c r="L116" s="181">
        <f t="shared" si="23"/>
        <v>-100</v>
      </c>
      <c r="M116" s="181">
        <f>M100*M99</f>
        <v>0</v>
      </c>
      <c r="N116" s="181">
        <f t="shared" si="24"/>
        <v>-100</v>
      </c>
      <c r="O116" s="181">
        <f t="shared" si="20"/>
        <v>0</v>
      </c>
      <c r="P116" s="181">
        <f>M116/($L$163+1E-103)*100</f>
        <v>0</v>
      </c>
      <c r="Q116" s="172">
        <f>Q100*Q99</f>
        <v>0</v>
      </c>
      <c r="R116" s="172">
        <f t="shared" si="25"/>
        <v>-100</v>
      </c>
      <c r="S116" s="172">
        <f>S100*S99</f>
        <v>0</v>
      </c>
      <c r="T116" s="171">
        <f t="shared" si="18"/>
        <v>-100</v>
      </c>
      <c r="U116" s="171">
        <f t="shared" si="26"/>
        <v>-100</v>
      </c>
      <c r="V116" s="172">
        <f t="shared" si="21"/>
        <v>0</v>
      </c>
      <c r="W116" s="175" t="e">
        <f t="shared" si="22"/>
        <v>#REF!</v>
      </c>
      <c r="X116" s="368"/>
      <c r="Y116" s="50"/>
    </row>
    <row r="117" spans="1:25" s="33" customFormat="1" ht="12" customHeight="1">
      <c r="A117" s="174">
        <v>13</v>
      </c>
      <c r="B117" s="167" t="s">
        <v>89</v>
      </c>
      <c r="C117" s="176" t="s">
        <v>77</v>
      </c>
      <c r="D117" s="228"/>
      <c r="E117" s="228"/>
      <c r="F117" s="228"/>
      <c r="G117" s="228"/>
      <c r="H117" s="370">
        <v>649.8373</v>
      </c>
      <c r="I117" s="228"/>
      <c r="J117" s="266">
        <v>0.65</v>
      </c>
      <c r="K117" s="228"/>
      <c r="L117" s="181">
        <f t="shared" si="23"/>
        <v>-100</v>
      </c>
      <c r="M117" s="228"/>
      <c r="N117" s="181">
        <f t="shared" si="24"/>
        <v>-100</v>
      </c>
      <c r="O117" s="181">
        <f t="shared" si="20"/>
        <v>0</v>
      </c>
      <c r="P117" s="181">
        <f>M117/($L$163+1E-103)*100</f>
        <v>0</v>
      </c>
      <c r="Q117" s="178">
        <f>F117</f>
        <v>0</v>
      </c>
      <c r="R117" s="172">
        <f t="shared" si="25"/>
        <v>-100</v>
      </c>
      <c r="S117" s="172">
        <f>Q117*1.03</f>
        <v>0</v>
      </c>
      <c r="T117" s="171">
        <f t="shared" si="18"/>
        <v>-100</v>
      </c>
      <c r="U117" s="171">
        <f t="shared" si="26"/>
        <v>-100</v>
      </c>
      <c r="V117" s="172">
        <f t="shared" si="21"/>
        <v>0</v>
      </c>
      <c r="W117" s="175" t="e">
        <f t="shared" si="22"/>
        <v>#REF!</v>
      </c>
      <c r="X117" s="179"/>
      <c r="Y117" s="50"/>
    </row>
    <row r="118" spans="1:25" s="33" customFormat="1" ht="12" customHeight="1">
      <c r="A118" s="174">
        <v>14</v>
      </c>
      <c r="B118" s="167" t="s">
        <v>90</v>
      </c>
      <c r="C118" s="176" t="s">
        <v>77</v>
      </c>
      <c r="D118" s="228"/>
      <c r="E118" s="228"/>
      <c r="F118" s="228"/>
      <c r="G118" s="228"/>
      <c r="H118" s="370">
        <v>11329.382402496001</v>
      </c>
      <c r="I118" s="228"/>
      <c r="J118" s="266">
        <v>60</v>
      </c>
      <c r="K118" s="228"/>
      <c r="L118" s="181">
        <f t="shared" si="23"/>
        <v>-100</v>
      </c>
      <c r="M118" s="228"/>
      <c r="N118" s="181">
        <f t="shared" si="24"/>
        <v>-100</v>
      </c>
      <c r="O118" s="181">
        <f t="shared" si="20"/>
        <v>0</v>
      </c>
      <c r="P118" s="181">
        <f>M118/($L$163+1E-103)*100</f>
        <v>0</v>
      </c>
      <c r="Q118" s="178">
        <f>F118</f>
        <v>0</v>
      </c>
      <c r="R118" s="172">
        <f t="shared" si="25"/>
        <v>-100</v>
      </c>
      <c r="S118" s="172">
        <f>Q118*1.051</f>
        <v>0</v>
      </c>
      <c r="T118" s="171">
        <f t="shared" si="18"/>
        <v>-100</v>
      </c>
      <c r="U118" s="171">
        <f t="shared" si="26"/>
        <v>-100</v>
      </c>
      <c r="V118" s="172">
        <f t="shared" si="21"/>
        <v>0</v>
      </c>
      <c r="W118" s="175" t="e">
        <f t="shared" si="22"/>
        <v>#REF!</v>
      </c>
      <c r="X118" s="179"/>
      <c r="Y118" s="50"/>
    </row>
    <row r="119" spans="1:25" ht="12" customHeight="1">
      <c r="A119" s="12"/>
      <c r="B119" s="13" t="s">
        <v>91</v>
      </c>
      <c r="C119" s="131" t="s">
        <v>92</v>
      </c>
      <c r="D119" s="219">
        <f>D118/12/(D120+1E-100)*1000</f>
        <v>0</v>
      </c>
      <c r="E119" s="214">
        <f>E118/12/(E120+1E-100)*1000</f>
        <v>0</v>
      </c>
      <c r="F119" s="219">
        <f>F118/12/(F120+1E-100)*1000</f>
        <v>0</v>
      </c>
      <c r="G119" s="214">
        <f>G118/3/(G120+1E-100)*1000</f>
        <v>0</v>
      </c>
      <c r="H119" s="354">
        <v>7579.6018</v>
      </c>
      <c r="I119" s="219">
        <f>I118/12/(I120+1E-100)*1000</f>
        <v>0</v>
      </c>
      <c r="J119" s="214">
        <f>J118/12/(J120+1E-100)*1000</f>
        <v>5000</v>
      </c>
      <c r="K119" s="214"/>
      <c r="L119" s="223">
        <f t="shared" si="23"/>
        <v>-100</v>
      </c>
      <c r="M119" s="219">
        <f>M118/12/(M120+1E-100)*1000</f>
        <v>0</v>
      </c>
      <c r="N119" s="223">
        <f t="shared" si="24"/>
        <v>-100</v>
      </c>
      <c r="O119" s="223">
        <f t="shared" si="20"/>
        <v>0</v>
      </c>
      <c r="P119" s="223"/>
      <c r="Q119" s="249">
        <f>Q118/12/(Q120+1E-100)*1000</f>
        <v>0</v>
      </c>
      <c r="R119" s="250">
        <f t="shared" si="25"/>
        <v>-100</v>
      </c>
      <c r="S119" s="249">
        <f>S118/12/(S120+1E-100)*1000</f>
        <v>0</v>
      </c>
      <c r="T119" s="256">
        <f t="shared" si="18"/>
        <v>-100</v>
      </c>
      <c r="U119" s="256">
        <f t="shared" si="26"/>
        <v>-100</v>
      </c>
      <c r="V119" s="250">
        <f t="shared" si="21"/>
        <v>0</v>
      </c>
      <c r="W119" s="267" t="e">
        <f t="shared" si="22"/>
        <v>#REF!</v>
      </c>
      <c r="X119" s="46"/>
      <c r="Y119" s="49"/>
    </row>
    <row r="120" spans="1:25" ht="12" customHeight="1">
      <c r="A120" s="12"/>
      <c r="B120" s="13" t="s">
        <v>93</v>
      </c>
      <c r="C120" s="131" t="s">
        <v>94</v>
      </c>
      <c r="D120" s="141"/>
      <c r="E120" s="229"/>
      <c r="F120" s="141"/>
      <c r="G120" s="229"/>
      <c r="H120" s="353">
        <v>124.56</v>
      </c>
      <c r="I120" s="141"/>
      <c r="J120" s="268">
        <v>1</v>
      </c>
      <c r="K120" s="229"/>
      <c r="L120" s="223">
        <f t="shared" si="23"/>
        <v>-100</v>
      </c>
      <c r="M120" s="141"/>
      <c r="N120" s="223">
        <f t="shared" si="24"/>
        <v>-100</v>
      </c>
      <c r="O120" s="223">
        <f t="shared" si="20"/>
        <v>0</v>
      </c>
      <c r="P120" s="223"/>
      <c r="Q120" s="249">
        <f>F120</f>
        <v>0</v>
      </c>
      <c r="R120" s="250">
        <f t="shared" si="25"/>
        <v>-100</v>
      </c>
      <c r="S120" s="249">
        <f>F120</f>
        <v>0</v>
      </c>
      <c r="T120" s="256">
        <f t="shared" si="18"/>
        <v>-100</v>
      </c>
      <c r="U120" s="256">
        <f t="shared" si="26"/>
        <v>-100</v>
      </c>
      <c r="V120" s="250">
        <f t="shared" si="21"/>
        <v>0</v>
      </c>
      <c r="W120" s="267" t="e">
        <f t="shared" si="22"/>
        <v>#REF!</v>
      </c>
      <c r="X120" s="46"/>
      <c r="Y120" s="49"/>
    </row>
    <row r="121" spans="1:25" s="33" customFormat="1" ht="12.75" customHeight="1">
      <c r="A121" s="174">
        <v>15</v>
      </c>
      <c r="B121" s="167" t="s">
        <v>171</v>
      </c>
      <c r="C121" s="168" t="s">
        <v>77</v>
      </c>
      <c r="D121" s="228"/>
      <c r="E121" s="231"/>
      <c r="F121" s="228"/>
      <c r="G121" s="231"/>
      <c r="H121" s="370">
        <v>3874.648781653633</v>
      </c>
      <c r="I121" s="228"/>
      <c r="J121" s="228">
        <v>18.1</v>
      </c>
      <c r="K121" s="231"/>
      <c r="L121" s="182">
        <f t="shared" si="23"/>
        <v>-100</v>
      </c>
      <c r="M121" s="228"/>
      <c r="N121" s="182">
        <f t="shared" si="24"/>
        <v>-100</v>
      </c>
      <c r="O121" s="181">
        <f t="shared" si="20"/>
        <v>0</v>
      </c>
      <c r="P121" s="181">
        <f>M121/($L$163+1E-103)*100</f>
        <v>0</v>
      </c>
      <c r="Q121" s="177">
        <f>F121</f>
        <v>0</v>
      </c>
      <c r="R121" s="265">
        <f t="shared" si="25"/>
        <v>-100</v>
      </c>
      <c r="S121" s="177">
        <f>S118*0.342</f>
        <v>0</v>
      </c>
      <c r="T121" s="264">
        <f t="shared" si="18"/>
        <v>-100</v>
      </c>
      <c r="U121" s="264">
        <f t="shared" si="26"/>
        <v>-100</v>
      </c>
      <c r="V121" s="265">
        <f t="shared" si="21"/>
        <v>0</v>
      </c>
      <c r="W121" s="269" t="e">
        <f t="shared" si="22"/>
        <v>#REF!</v>
      </c>
      <c r="X121" s="179"/>
      <c r="Y121" s="50"/>
    </row>
    <row r="122" spans="1:25" s="33" customFormat="1" ht="12" customHeight="1">
      <c r="A122" s="174">
        <v>16</v>
      </c>
      <c r="B122" s="167" t="s">
        <v>95</v>
      </c>
      <c r="C122" s="168" t="s">
        <v>77</v>
      </c>
      <c r="D122" s="228"/>
      <c r="E122" s="231"/>
      <c r="F122" s="228"/>
      <c r="G122" s="231"/>
      <c r="H122" s="370"/>
      <c r="I122" s="228"/>
      <c r="J122" s="228">
        <v>18.8</v>
      </c>
      <c r="K122" s="231"/>
      <c r="L122" s="182">
        <f t="shared" si="23"/>
        <v>-100</v>
      </c>
      <c r="M122" s="228"/>
      <c r="N122" s="182">
        <f t="shared" si="24"/>
        <v>-100</v>
      </c>
      <c r="O122" s="181">
        <f t="shared" si="20"/>
        <v>0</v>
      </c>
      <c r="P122" s="181">
        <f>M122/($L$163+1E-103)*100</f>
        <v>0</v>
      </c>
      <c r="Q122" s="270">
        <f>F122</f>
        <v>0</v>
      </c>
      <c r="R122" s="265">
        <f t="shared" si="25"/>
        <v>-100</v>
      </c>
      <c r="S122" s="270">
        <f>F122</f>
        <v>0</v>
      </c>
      <c r="T122" s="264">
        <f t="shared" si="18"/>
        <v>-100</v>
      </c>
      <c r="U122" s="264">
        <f t="shared" si="26"/>
        <v>-100</v>
      </c>
      <c r="V122" s="265">
        <f t="shared" si="21"/>
        <v>0</v>
      </c>
      <c r="W122" s="269" t="e">
        <f t="shared" si="22"/>
        <v>#REF!</v>
      </c>
      <c r="X122" s="179"/>
      <c r="Y122" s="50"/>
    </row>
    <row r="123" spans="1:25" s="33" customFormat="1" ht="12" customHeight="1">
      <c r="A123" s="174">
        <v>17</v>
      </c>
      <c r="B123" s="167" t="s">
        <v>96</v>
      </c>
      <c r="C123" s="168" t="s">
        <v>77</v>
      </c>
      <c r="D123" s="181">
        <f>D124+D125+D126</f>
        <v>0</v>
      </c>
      <c r="E123" s="181">
        <f aca="true" t="shared" si="27" ref="E123:M123">E124+E125+E126</f>
        <v>0</v>
      </c>
      <c r="F123" s="181">
        <f t="shared" si="27"/>
        <v>0</v>
      </c>
      <c r="G123" s="181">
        <f t="shared" si="27"/>
        <v>0</v>
      </c>
      <c r="H123" s="364">
        <v>5336.8403235994665</v>
      </c>
      <c r="I123" s="181">
        <f t="shared" si="27"/>
        <v>0</v>
      </c>
      <c r="J123" s="266">
        <f>J124+J125+J126</f>
        <v>16.8</v>
      </c>
      <c r="K123" s="181"/>
      <c r="L123" s="182">
        <f t="shared" si="23"/>
        <v>-100</v>
      </c>
      <c r="M123" s="181">
        <f t="shared" si="27"/>
        <v>0</v>
      </c>
      <c r="N123" s="182">
        <f t="shared" si="24"/>
        <v>-100</v>
      </c>
      <c r="O123" s="181">
        <f t="shared" si="20"/>
        <v>0</v>
      </c>
      <c r="P123" s="181">
        <f>M123/($L$163+1E-103)*100</f>
        <v>0</v>
      </c>
      <c r="Q123" s="183">
        <f>Q126+Q125+Q124</f>
        <v>0</v>
      </c>
      <c r="R123" s="184">
        <f t="shared" si="25"/>
        <v>-100</v>
      </c>
      <c r="S123" s="183">
        <f>S126+S125+S124</f>
        <v>0</v>
      </c>
      <c r="T123" s="171">
        <f t="shared" si="18"/>
        <v>-100</v>
      </c>
      <c r="U123" s="171">
        <f t="shared" si="26"/>
        <v>-100</v>
      </c>
      <c r="V123" s="172">
        <f t="shared" si="21"/>
        <v>0</v>
      </c>
      <c r="W123" s="175" t="e">
        <f t="shared" si="22"/>
        <v>#REF!</v>
      </c>
      <c r="X123" s="179"/>
      <c r="Y123" s="50"/>
    </row>
    <row r="124" spans="1:25" ht="12" customHeight="1">
      <c r="A124" s="12" t="s">
        <v>31</v>
      </c>
      <c r="B124" s="13" t="s">
        <v>97</v>
      </c>
      <c r="C124" s="40" t="s">
        <v>77</v>
      </c>
      <c r="D124" s="141"/>
      <c r="E124" s="229"/>
      <c r="F124" s="141"/>
      <c r="G124" s="229"/>
      <c r="H124" s="353">
        <v>248.53899999999993</v>
      </c>
      <c r="I124" s="141"/>
      <c r="J124" s="230">
        <v>14.4</v>
      </c>
      <c r="K124" s="229"/>
      <c r="L124" s="223">
        <f t="shared" si="23"/>
        <v>-100</v>
      </c>
      <c r="M124" s="141"/>
      <c r="N124" s="223">
        <f t="shared" si="24"/>
        <v>-100</v>
      </c>
      <c r="O124" s="223">
        <f t="shared" si="20"/>
        <v>0</v>
      </c>
      <c r="P124" s="223"/>
      <c r="Q124" s="271">
        <f>F124</f>
        <v>0</v>
      </c>
      <c r="R124" s="272">
        <f t="shared" si="25"/>
        <v>-100</v>
      </c>
      <c r="S124" s="257">
        <f>F124*1.03</f>
        <v>0</v>
      </c>
      <c r="T124" s="256">
        <f t="shared" si="18"/>
        <v>-100</v>
      </c>
      <c r="U124" s="256">
        <f t="shared" si="26"/>
        <v>-100</v>
      </c>
      <c r="V124" s="250">
        <f t="shared" si="21"/>
        <v>0</v>
      </c>
      <c r="W124" s="267" t="e">
        <f t="shared" si="22"/>
        <v>#REF!</v>
      </c>
      <c r="X124" s="30" t="s">
        <v>220</v>
      </c>
      <c r="Y124" s="49"/>
    </row>
    <row r="125" spans="1:25" ht="12" customHeight="1">
      <c r="A125" s="12" t="s">
        <v>31</v>
      </c>
      <c r="B125" s="13" t="s">
        <v>98</v>
      </c>
      <c r="C125" s="40" t="s">
        <v>77</v>
      </c>
      <c r="D125" s="141"/>
      <c r="E125" s="229"/>
      <c r="F125" s="141"/>
      <c r="G125" s="229"/>
      <c r="H125" s="353">
        <v>2713.9144235994668</v>
      </c>
      <c r="I125" s="141"/>
      <c r="J125" s="230">
        <v>0</v>
      </c>
      <c r="K125" s="229"/>
      <c r="L125" s="223">
        <f t="shared" si="23"/>
        <v>-100</v>
      </c>
      <c r="M125" s="141"/>
      <c r="N125" s="223">
        <f t="shared" si="24"/>
        <v>-100</v>
      </c>
      <c r="O125" s="223">
        <f t="shared" si="20"/>
        <v>0</v>
      </c>
      <c r="P125" s="223"/>
      <c r="Q125" s="271">
        <f>F125</f>
        <v>0</v>
      </c>
      <c r="R125" s="272">
        <f t="shared" si="25"/>
        <v>-100</v>
      </c>
      <c r="S125" s="257">
        <f>F125*1.03</f>
        <v>0</v>
      </c>
      <c r="T125" s="256">
        <f t="shared" si="18"/>
        <v>-100</v>
      </c>
      <c r="U125" s="256">
        <f t="shared" si="26"/>
        <v>-100</v>
      </c>
      <c r="V125" s="250">
        <f t="shared" si="21"/>
        <v>0</v>
      </c>
      <c r="W125" s="267" t="e">
        <f t="shared" si="22"/>
        <v>#REF!</v>
      </c>
      <c r="X125" s="30"/>
      <c r="Y125" s="49"/>
    </row>
    <row r="126" spans="1:25" ht="12" customHeight="1">
      <c r="A126" s="12" t="s">
        <v>31</v>
      </c>
      <c r="B126" s="13" t="s">
        <v>99</v>
      </c>
      <c r="C126" s="40" t="s">
        <v>77</v>
      </c>
      <c r="D126" s="141"/>
      <c r="E126" s="229"/>
      <c r="F126" s="141"/>
      <c r="G126" s="229"/>
      <c r="H126" s="353">
        <v>2374.3869</v>
      </c>
      <c r="I126" s="141"/>
      <c r="J126" s="230">
        <v>2.4</v>
      </c>
      <c r="K126" s="229"/>
      <c r="L126" s="223">
        <f t="shared" si="23"/>
        <v>-100</v>
      </c>
      <c r="M126" s="141"/>
      <c r="N126" s="223">
        <f t="shared" si="24"/>
        <v>-100</v>
      </c>
      <c r="O126" s="223"/>
      <c r="P126" s="223"/>
      <c r="Q126" s="271">
        <f>F126</f>
        <v>0</v>
      </c>
      <c r="R126" s="272"/>
      <c r="S126" s="257">
        <f>F126*1.03</f>
        <v>0</v>
      </c>
      <c r="T126" s="256">
        <f t="shared" si="18"/>
        <v>-100</v>
      </c>
      <c r="U126" s="256">
        <f t="shared" si="26"/>
        <v>-100</v>
      </c>
      <c r="V126" s="250"/>
      <c r="W126" s="267"/>
      <c r="X126" s="30"/>
      <c r="Y126" s="49"/>
    </row>
    <row r="127" spans="1:25" s="33" customFormat="1" ht="12" customHeight="1">
      <c r="A127" s="174">
        <v>18</v>
      </c>
      <c r="B127" s="167" t="s">
        <v>100</v>
      </c>
      <c r="C127" s="168" t="s">
        <v>77</v>
      </c>
      <c r="D127" s="181">
        <f>D128+D131+D132</f>
        <v>0</v>
      </c>
      <c r="E127" s="181">
        <f>E128+E131+E132</f>
        <v>0</v>
      </c>
      <c r="F127" s="181">
        <f>F128+F131+F132</f>
        <v>0</v>
      </c>
      <c r="G127" s="181">
        <f>G128+G131+G132</f>
        <v>0</v>
      </c>
      <c r="H127" s="364">
        <v>4222.52636</v>
      </c>
      <c r="I127" s="181"/>
      <c r="J127" s="266">
        <f>J128+J131+J132</f>
        <v>132.8</v>
      </c>
      <c r="K127" s="181"/>
      <c r="L127" s="182">
        <f t="shared" si="23"/>
        <v>-100</v>
      </c>
      <c r="M127" s="181">
        <f>L128+L131+L132</f>
        <v>0</v>
      </c>
      <c r="N127" s="182">
        <f t="shared" si="24"/>
        <v>-100</v>
      </c>
      <c r="O127" s="181">
        <f>M127-K127</f>
        <v>0</v>
      </c>
      <c r="P127" s="181">
        <f>M127/($L$163+1E-103)*100</f>
        <v>0</v>
      </c>
      <c r="Q127" s="180">
        <f>P128+P131+P132</f>
        <v>0</v>
      </c>
      <c r="R127" s="172">
        <f>Q127/(F127+1E-106)*100-100</f>
        <v>-100</v>
      </c>
      <c r="S127" s="180">
        <f>R128+R131+R132</f>
        <v>0</v>
      </c>
      <c r="T127" s="171">
        <f t="shared" si="18"/>
        <v>-100</v>
      </c>
      <c r="U127" s="171">
        <f t="shared" si="26"/>
        <v>-100</v>
      </c>
      <c r="V127" s="172">
        <f aca="true" t="shared" si="28" ref="U127:V156">S127-K127</f>
        <v>0</v>
      </c>
      <c r="W127" s="175" t="e">
        <f>S127/($R$163+1E-103)*100</f>
        <v>#REF!</v>
      </c>
      <c r="X127" s="179"/>
      <c r="Y127" s="50"/>
    </row>
    <row r="128" spans="1:23" ht="12" customHeight="1">
      <c r="A128" s="12" t="s">
        <v>31</v>
      </c>
      <c r="B128" s="13" t="s">
        <v>101</v>
      </c>
      <c r="C128" s="40" t="s">
        <v>77</v>
      </c>
      <c r="D128" s="141"/>
      <c r="E128" s="229"/>
      <c r="F128" s="141"/>
      <c r="G128" s="229"/>
      <c r="H128" s="141">
        <v>3026.8799999999997</v>
      </c>
      <c r="I128" s="230" t="s">
        <v>65</v>
      </c>
      <c r="J128" s="229">
        <v>99.7</v>
      </c>
      <c r="K128" s="223">
        <f aca="true" t="shared" si="29" ref="K128:K164">J128/(H128+1E-133)*100-100</f>
        <v>-96.70617930013744</v>
      </c>
      <c r="L128" s="141"/>
      <c r="M128" s="223">
        <f>L128/(H128+1E-106)*100-100</f>
        <v>-100</v>
      </c>
      <c r="N128" s="223">
        <f>L128-J128</f>
        <v>-99.7</v>
      </c>
      <c r="O128" s="223"/>
      <c r="P128" s="249">
        <f>F128</f>
        <v>0</v>
      </c>
      <c r="Q128" s="250">
        <f aca="true" t="shared" si="30" ref="Q128:Q156">P128/(F128+1E-106)*100-100</f>
        <v>-100</v>
      </c>
      <c r="R128" s="273">
        <f>P128*1.051</f>
        <v>0</v>
      </c>
      <c r="S128" s="256">
        <f aca="true" t="shared" si="31" ref="S128:S156">R128/(P128+1E-106)*100-100</f>
        <v>-100</v>
      </c>
      <c r="T128" s="256">
        <f aca="true" t="shared" si="32" ref="T128:T156">R128/(F128+1E-106)*100-100</f>
        <v>-100</v>
      </c>
      <c r="U128" s="250">
        <f t="shared" si="28"/>
        <v>-99.7</v>
      </c>
      <c r="V128" s="267" t="e">
        <f>R128/($R$163+1E-103)*100</f>
        <v>#REF!</v>
      </c>
      <c r="W128" s="46"/>
    </row>
    <row r="129" spans="1:23" ht="12" customHeight="1">
      <c r="A129" s="12"/>
      <c r="B129" s="13" t="s">
        <v>102</v>
      </c>
      <c r="C129" s="131" t="s">
        <v>92</v>
      </c>
      <c r="D129" s="219">
        <f aca="true" t="shared" si="33" ref="D129:J129">D128/12/(D130+1E-100)*1000</f>
        <v>0</v>
      </c>
      <c r="E129" s="214">
        <f t="shared" si="33"/>
        <v>0</v>
      </c>
      <c r="F129" s="219">
        <f t="shared" si="33"/>
        <v>0</v>
      </c>
      <c r="G129" s="214">
        <f>G128/3/(G130+1E-100)*1000</f>
        <v>0</v>
      </c>
      <c r="H129" s="219">
        <v>12611.999999999998</v>
      </c>
      <c r="I129" s="235" t="s">
        <v>65</v>
      </c>
      <c r="J129" s="214">
        <f t="shared" si="33"/>
        <v>8308.333333333334</v>
      </c>
      <c r="K129" s="223">
        <f t="shared" si="29"/>
        <v>-34.123586002748695</v>
      </c>
      <c r="L129" s="219">
        <f>L128/12/(L130+1E-100)*1000</f>
        <v>0</v>
      </c>
      <c r="M129" s="223">
        <f aca="true" t="shared" si="34" ref="M129:M155">L129/(H129+1E-106)*100-100</f>
        <v>-100</v>
      </c>
      <c r="N129" s="223"/>
      <c r="O129" s="223"/>
      <c r="P129" s="26">
        <f>F129</f>
        <v>0</v>
      </c>
      <c r="Q129" s="16">
        <f t="shared" si="30"/>
        <v>-100</v>
      </c>
      <c r="R129" s="26">
        <f>R128/12/(R130+1E-100)*1000</f>
        <v>0</v>
      </c>
      <c r="S129" s="17">
        <f t="shared" si="31"/>
        <v>-100</v>
      </c>
      <c r="T129" s="17">
        <f t="shared" si="32"/>
        <v>-100</v>
      </c>
      <c r="U129" s="16">
        <f t="shared" si="28"/>
        <v>-8308.333333333334</v>
      </c>
      <c r="V129" s="36"/>
      <c r="W129" s="46"/>
    </row>
    <row r="130" spans="1:23" ht="12" customHeight="1">
      <c r="A130" s="12"/>
      <c r="B130" s="13" t="s">
        <v>93</v>
      </c>
      <c r="C130" s="131" t="s">
        <v>94</v>
      </c>
      <c r="D130" s="141"/>
      <c r="E130" s="229"/>
      <c r="F130" s="141"/>
      <c r="G130" s="229"/>
      <c r="H130" s="141">
        <v>20</v>
      </c>
      <c r="I130" s="230" t="s">
        <v>65</v>
      </c>
      <c r="J130" s="229">
        <v>1</v>
      </c>
      <c r="K130" s="223">
        <f t="shared" si="29"/>
        <v>-95</v>
      </c>
      <c r="L130" s="141"/>
      <c r="M130" s="223">
        <f t="shared" si="34"/>
        <v>-100</v>
      </c>
      <c r="N130" s="223"/>
      <c r="O130" s="223"/>
      <c r="P130" s="249">
        <f>F130</f>
        <v>0</v>
      </c>
      <c r="Q130" s="250">
        <f t="shared" si="30"/>
        <v>-100</v>
      </c>
      <c r="R130" s="249">
        <f>F130</f>
        <v>0</v>
      </c>
      <c r="S130" s="256">
        <f t="shared" si="31"/>
        <v>-100</v>
      </c>
      <c r="T130" s="256">
        <f t="shared" si="32"/>
        <v>-100</v>
      </c>
      <c r="U130" s="250">
        <f t="shared" si="28"/>
        <v>-1</v>
      </c>
      <c r="V130" s="267" t="e">
        <f>R130/($R$163+1E-103)*100</f>
        <v>#REF!</v>
      </c>
      <c r="W130" s="46"/>
    </row>
    <row r="131" spans="1:23" ht="12" customHeight="1">
      <c r="A131" s="12" t="s">
        <v>31</v>
      </c>
      <c r="B131" s="4" t="s">
        <v>171</v>
      </c>
      <c r="C131" s="40" t="s">
        <v>77</v>
      </c>
      <c r="D131" s="141"/>
      <c r="E131" s="229"/>
      <c r="F131" s="141"/>
      <c r="G131" s="229"/>
      <c r="H131" s="141">
        <v>1035.1929599999999</v>
      </c>
      <c r="I131" s="230" t="s">
        <v>65</v>
      </c>
      <c r="J131" s="229">
        <v>30.1</v>
      </c>
      <c r="K131" s="223">
        <f t="shared" si="29"/>
        <v>-97.0923295305254</v>
      </c>
      <c r="L131" s="141"/>
      <c r="M131" s="223">
        <f t="shared" si="34"/>
        <v>-100</v>
      </c>
      <c r="N131" s="223">
        <f>L131-J131</f>
        <v>-30.1</v>
      </c>
      <c r="O131" s="223"/>
      <c r="P131" s="249">
        <f>F131</f>
        <v>0</v>
      </c>
      <c r="Q131" s="250">
        <f t="shared" si="30"/>
        <v>-100</v>
      </c>
      <c r="R131" s="23">
        <f>R128*0.342</f>
        <v>0</v>
      </c>
      <c r="S131" s="256">
        <f t="shared" si="31"/>
        <v>-100</v>
      </c>
      <c r="T131" s="256">
        <f t="shared" si="32"/>
        <v>-100</v>
      </c>
      <c r="U131" s="250">
        <f t="shared" si="28"/>
        <v>-30.1</v>
      </c>
      <c r="V131" s="267" t="e">
        <f>R131/($R$163+1E-103)*100</f>
        <v>#REF!</v>
      </c>
      <c r="W131" s="46"/>
    </row>
    <row r="132" spans="1:23" ht="12" customHeight="1">
      <c r="A132" s="12" t="s">
        <v>31</v>
      </c>
      <c r="B132" s="13" t="s">
        <v>103</v>
      </c>
      <c r="C132" s="40" t="s">
        <v>77</v>
      </c>
      <c r="D132" s="141"/>
      <c r="E132" s="229"/>
      <c r="F132" s="141"/>
      <c r="G132" s="229"/>
      <c r="H132" s="141">
        <v>160.45340000000002</v>
      </c>
      <c r="I132" s="230" t="s">
        <v>65</v>
      </c>
      <c r="J132" s="229">
        <v>3</v>
      </c>
      <c r="K132" s="223">
        <f t="shared" si="29"/>
        <v>-98.13029826728508</v>
      </c>
      <c r="L132" s="141"/>
      <c r="M132" s="223">
        <f t="shared" si="34"/>
        <v>-100</v>
      </c>
      <c r="N132" s="223">
        <f>L132-J132</f>
        <v>-3</v>
      </c>
      <c r="O132" s="223"/>
      <c r="P132" s="249">
        <f>F132</f>
        <v>0</v>
      </c>
      <c r="Q132" s="250">
        <f t="shared" si="30"/>
        <v>-100</v>
      </c>
      <c r="R132" s="249">
        <f>F132*1.03</f>
        <v>0</v>
      </c>
      <c r="S132" s="256">
        <f t="shared" si="31"/>
        <v>-100</v>
      </c>
      <c r="T132" s="256">
        <f t="shared" si="32"/>
        <v>-100</v>
      </c>
      <c r="U132" s="250">
        <f t="shared" si="28"/>
        <v>-3</v>
      </c>
      <c r="V132" s="267" t="e">
        <f>R132/($R$163+1E-103)*100</f>
        <v>#REF!</v>
      </c>
      <c r="W132" s="46"/>
    </row>
    <row r="133" spans="1:24" s="33" customFormat="1" ht="12" customHeight="1">
      <c r="A133" s="174">
        <v>19</v>
      </c>
      <c r="B133" s="185" t="s">
        <v>104</v>
      </c>
      <c r="C133" s="168" t="s">
        <v>77</v>
      </c>
      <c r="D133" s="181">
        <f>D134+D137+D138</f>
        <v>0</v>
      </c>
      <c r="E133" s="181">
        <f>E134+E137+E138</f>
        <v>0</v>
      </c>
      <c r="F133" s="181">
        <f>F134+F137+F138</f>
        <v>0</v>
      </c>
      <c r="G133" s="181">
        <f>G134+G137+G138</f>
        <v>0</v>
      </c>
      <c r="H133" s="181">
        <v>1403.4141246</v>
      </c>
      <c r="I133" s="266" t="s">
        <v>65</v>
      </c>
      <c r="J133" s="181">
        <f>J134+J137+J138</f>
        <v>8</v>
      </c>
      <c r="K133" s="182">
        <f t="shared" si="29"/>
        <v>-99.42996155876084</v>
      </c>
      <c r="L133" s="181">
        <f>L134+L137+L138</f>
        <v>0</v>
      </c>
      <c r="M133" s="182">
        <f t="shared" si="34"/>
        <v>-100</v>
      </c>
      <c r="N133" s="181">
        <f>L133-J133</f>
        <v>-8</v>
      </c>
      <c r="O133" s="181">
        <f>L133/($L$163+1E-103)*100</f>
        <v>0</v>
      </c>
      <c r="P133" s="180">
        <f>P134+P137+P138</f>
        <v>0</v>
      </c>
      <c r="Q133" s="172">
        <f t="shared" si="30"/>
        <v>-100</v>
      </c>
      <c r="R133" s="180">
        <f>R134+R137+R138</f>
        <v>0</v>
      </c>
      <c r="S133" s="171">
        <f t="shared" si="31"/>
        <v>-100</v>
      </c>
      <c r="T133" s="171">
        <f t="shared" si="32"/>
        <v>-100</v>
      </c>
      <c r="U133" s="172">
        <f t="shared" si="28"/>
        <v>-8</v>
      </c>
      <c r="V133" s="175" t="e">
        <f>R133/($R$163+1E-103)*100</f>
        <v>#REF!</v>
      </c>
      <c r="W133" s="179"/>
      <c r="X133" s="371"/>
    </row>
    <row r="134" spans="1:24" ht="12" customHeight="1">
      <c r="A134" s="12" t="s">
        <v>31</v>
      </c>
      <c r="B134" s="13" t="s">
        <v>101</v>
      </c>
      <c r="C134" s="40" t="s">
        <v>77</v>
      </c>
      <c r="D134" s="141"/>
      <c r="E134" s="229"/>
      <c r="F134" s="141"/>
      <c r="G134" s="229"/>
      <c r="H134" s="141">
        <v>1007.6987999999999</v>
      </c>
      <c r="I134" s="230" t="s">
        <v>65</v>
      </c>
      <c r="J134" s="229"/>
      <c r="K134" s="223">
        <f t="shared" si="29"/>
        <v>-100</v>
      </c>
      <c r="L134" s="141"/>
      <c r="M134" s="223">
        <f t="shared" si="34"/>
        <v>-100</v>
      </c>
      <c r="N134" s="223">
        <f>L134-J134</f>
        <v>0</v>
      </c>
      <c r="O134" s="223"/>
      <c r="P134" s="257">
        <f>F134</f>
        <v>0</v>
      </c>
      <c r="Q134" s="250">
        <f t="shared" si="30"/>
        <v>-100</v>
      </c>
      <c r="R134" s="273">
        <f>P134*1.051</f>
        <v>0</v>
      </c>
      <c r="S134" s="256">
        <f t="shared" si="31"/>
        <v>-100</v>
      </c>
      <c r="T134" s="256">
        <f t="shared" si="32"/>
        <v>-100</v>
      </c>
      <c r="U134" s="250">
        <f t="shared" si="28"/>
        <v>0</v>
      </c>
      <c r="V134" s="267" t="e">
        <f>R134/($R$163+1E-103)*100</f>
        <v>#REF!</v>
      </c>
      <c r="W134" s="46"/>
      <c r="X134" s="372"/>
    </row>
    <row r="135" spans="1:24" ht="12" customHeight="1">
      <c r="A135" s="12"/>
      <c r="B135" s="13" t="s">
        <v>102</v>
      </c>
      <c r="C135" s="131" t="s">
        <v>92</v>
      </c>
      <c r="D135" s="219">
        <f aca="true" t="shared" si="35" ref="D135:J135">D134/12/(D136+1E-100)*1000</f>
        <v>0</v>
      </c>
      <c r="E135" s="214">
        <f t="shared" si="35"/>
        <v>0</v>
      </c>
      <c r="F135" s="219">
        <f t="shared" si="35"/>
        <v>0</v>
      </c>
      <c r="G135" s="214">
        <f>G134/3/(G136+1E-100)*1000</f>
        <v>0</v>
      </c>
      <c r="H135" s="219">
        <v>16794.98</v>
      </c>
      <c r="I135" s="235" t="s">
        <v>65</v>
      </c>
      <c r="J135" s="214">
        <f t="shared" si="35"/>
        <v>0</v>
      </c>
      <c r="K135" s="223">
        <f t="shared" si="29"/>
        <v>-100</v>
      </c>
      <c r="L135" s="219">
        <f>L134/12/(L136+1E-100)*1000</f>
        <v>0</v>
      </c>
      <c r="M135" s="223">
        <f t="shared" si="34"/>
        <v>-100</v>
      </c>
      <c r="N135" s="223"/>
      <c r="O135" s="223"/>
      <c r="P135" s="38">
        <f>F135</f>
        <v>0</v>
      </c>
      <c r="Q135" s="16">
        <f t="shared" si="30"/>
        <v>-100</v>
      </c>
      <c r="R135" s="26">
        <f>R134/12/(R136+1E-100)*1000</f>
        <v>0</v>
      </c>
      <c r="S135" s="17">
        <f t="shared" si="31"/>
        <v>-100</v>
      </c>
      <c r="T135" s="17">
        <f t="shared" si="32"/>
        <v>-100</v>
      </c>
      <c r="U135" s="16">
        <f t="shared" si="28"/>
        <v>0</v>
      </c>
      <c r="V135" s="36"/>
      <c r="W135" s="46"/>
      <c r="X135" s="372"/>
    </row>
    <row r="136" spans="1:24" ht="12" customHeight="1">
      <c r="A136" s="12"/>
      <c r="B136" s="13" t="s">
        <v>93</v>
      </c>
      <c r="C136" s="131" t="s">
        <v>94</v>
      </c>
      <c r="D136" s="141"/>
      <c r="E136" s="229"/>
      <c r="F136" s="141"/>
      <c r="G136" s="229"/>
      <c r="H136" s="141">
        <v>5</v>
      </c>
      <c r="I136" s="230" t="s">
        <v>65</v>
      </c>
      <c r="J136" s="229"/>
      <c r="K136" s="223">
        <f t="shared" si="29"/>
        <v>-100</v>
      </c>
      <c r="L136" s="141"/>
      <c r="M136" s="223">
        <f t="shared" si="34"/>
        <v>-100</v>
      </c>
      <c r="N136" s="223"/>
      <c r="O136" s="223"/>
      <c r="P136" s="257">
        <f>F136</f>
        <v>0</v>
      </c>
      <c r="Q136" s="250">
        <f t="shared" si="30"/>
        <v>-100</v>
      </c>
      <c r="R136" s="249">
        <f>F136</f>
        <v>0</v>
      </c>
      <c r="S136" s="256">
        <f t="shared" si="31"/>
        <v>-100</v>
      </c>
      <c r="T136" s="256">
        <f t="shared" si="32"/>
        <v>-100</v>
      </c>
      <c r="U136" s="250">
        <f t="shared" si="28"/>
        <v>0</v>
      </c>
      <c r="V136" s="267" t="e">
        <f aca="true" t="shared" si="36" ref="V136:V156">R136/($R$163+1E-103)*100</f>
        <v>#REF!</v>
      </c>
      <c r="W136" s="46"/>
      <c r="X136" s="372"/>
    </row>
    <row r="137" spans="1:24" ht="12" customHeight="1">
      <c r="A137" s="12" t="s">
        <v>31</v>
      </c>
      <c r="B137" s="4" t="s">
        <v>171</v>
      </c>
      <c r="C137" s="40" t="s">
        <v>77</v>
      </c>
      <c r="D137" s="141"/>
      <c r="E137" s="229"/>
      <c r="F137" s="141"/>
      <c r="G137" s="229"/>
      <c r="H137" s="141">
        <v>344.6329896</v>
      </c>
      <c r="I137" s="230" t="s">
        <v>65</v>
      </c>
      <c r="J137" s="229"/>
      <c r="K137" s="223">
        <f t="shared" si="29"/>
        <v>-100</v>
      </c>
      <c r="L137" s="141"/>
      <c r="M137" s="223">
        <f t="shared" si="34"/>
        <v>-100</v>
      </c>
      <c r="N137" s="223">
        <f aca="true" t="shared" si="37" ref="N137:N155">L137-J137</f>
        <v>0</v>
      </c>
      <c r="O137" s="223"/>
      <c r="P137" s="257">
        <f>F137</f>
        <v>0</v>
      </c>
      <c r="Q137" s="250">
        <f t="shared" si="30"/>
        <v>-100</v>
      </c>
      <c r="R137" s="23">
        <f>R134*0.342</f>
        <v>0</v>
      </c>
      <c r="S137" s="256">
        <f t="shared" si="31"/>
        <v>-100</v>
      </c>
      <c r="T137" s="256">
        <f t="shared" si="32"/>
        <v>-100</v>
      </c>
      <c r="U137" s="250">
        <f t="shared" si="28"/>
        <v>0</v>
      </c>
      <c r="V137" s="267" t="e">
        <f t="shared" si="36"/>
        <v>#REF!</v>
      </c>
      <c r="W137" s="46"/>
      <c r="X137" s="372"/>
    </row>
    <row r="138" spans="1:24" ht="12" customHeight="1">
      <c r="A138" s="12" t="s">
        <v>31</v>
      </c>
      <c r="B138" s="13" t="s">
        <v>103</v>
      </c>
      <c r="C138" s="40" t="s">
        <v>77</v>
      </c>
      <c r="D138" s="141"/>
      <c r="E138" s="229"/>
      <c r="F138" s="141"/>
      <c r="G138" s="229"/>
      <c r="H138" s="141">
        <v>51.082335</v>
      </c>
      <c r="I138" s="230" t="s">
        <v>65</v>
      </c>
      <c r="J138" s="229">
        <v>8</v>
      </c>
      <c r="K138" s="223">
        <f t="shared" si="29"/>
        <v>-84.33900877867075</v>
      </c>
      <c r="L138" s="141"/>
      <c r="M138" s="223">
        <f t="shared" si="34"/>
        <v>-100</v>
      </c>
      <c r="N138" s="223">
        <f t="shared" si="37"/>
        <v>-8</v>
      </c>
      <c r="O138" s="223"/>
      <c r="P138" s="257">
        <f>F138</f>
        <v>0</v>
      </c>
      <c r="Q138" s="250">
        <f t="shared" si="30"/>
        <v>-100</v>
      </c>
      <c r="R138" s="249">
        <f>F138*1.03</f>
        <v>0</v>
      </c>
      <c r="S138" s="256">
        <f t="shared" si="31"/>
        <v>-100</v>
      </c>
      <c r="T138" s="256">
        <f t="shared" si="32"/>
        <v>-100</v>
      </c>
      <c r="U138" s="250">
        <f t="shared" si="28"/>
        <v>-8</v>
      </c>
      <c r="V138" s="267" t="e">
        <f t="shared" si="36"/>
        <v>#REF!</v>
      </c>
      <c r="W138" s="46"/>
      <c r="X138" s="372"/>
    </row>
    <row r="139" spans="1:24" s="33" customFormat="1" ht="12" customHeight="1">
      <c r="A139" s="174">
        <v>20</v>
      </c>
      <c r="B139" s="167" t="s">
        <v>105</v>
      </c>
      <c r="C139" s="168" t="s">
        <v>77</v>
      </c>
      <c r="D139" s="181">
        <f>D140+D141+D142+D143</f>
        <v>0</v>
      </c>
      <c r="E139" s="181">
        <f aca="true" t="shared" si="38" ref="E139:L139">E140+E141+E142+E143</f>
        <v>0</v>
      </c>
      <c r="F139" s="181">
        <f t="shared" si="38"/>
        <v>0</v>
      </c>
      <c r="G139" s="181">
        <f t="shared" si="38"/>
        <v>0</v>
      </c>
      <c r="H139" s="181">
        <v>3307.75848</v>
      </c>
      <c r="I139" s="266" t="s">
        <v>65</v>
      </c>
      <c r="J139" s="181">
        <f t="shared" si="38"/>
        <v>5.8</v>
      </c>
      <c r="K139" s="182">
        <f t="shared" si="29"/>
        <v>-99.82465467067595</v>
      </c>
      <c r="L139" s="181">
        <f t="shared" si="38"/>
        <v>0</v>
      </c>
      <c r="M139" s="182">
        <f t="shared" si="34"/>
        <v>-100</v>
      </c>
      <c r="N139" s="181">
        <f t="shared" si="37"/>
        <v>-5.8</v>
      </c>
      <c r="O139" s="181">
        <f>L139/($L$163+1E-103)*100</f>
        <v>0</v>
      </c>
      <c r="P139" s="183">
        <f>P140+P141+P142+P143</f>
        <v>0</v>
      </c>
      <c r="Q139" s="172">
        <f t="shared" si="30"/>
        <v>-100</v>
      </c>
      <c r="R139" s="180">
        <f>R140+R141+R142+R143</f>
        <v>0</v>
      </c>
      <c r="S139" s="171">
        <f t="shared" si="31"/>
        <v>-100</v>
      </c>
      <c r="T139" s="171">
        <f t="shared" si="32"/>
        <v>-100</v>
      </c>
      <c r="U139" s="172">
        <f t="shared" si="28"/>
        <v>-5.8</v>
      </c>
      <c r="V139" s="175" t="e">
        <f t="shared" si="36"/>
        <v>#REF!</v>
      </c>
      <c r="W139" s="179"/>
      <c r="X139" s="50"/>
    </row>
    <row r="140" spans="1:23" ht="25.5">
      <c r="A140" s="12" t="s">
        <v>31</v>
      </c>
      <c r="B140" s="13" t="s">
        <v>106</v>
      </c>
      <c r="C140" s="40" t="s">
        <v>77</v>
      </c>
      <c r="D140" s="141"/>
      <c r="E140" s="229"/>
      <c r="F140" s="141"/>
      <c r="G140" s="229"/>
      <c r="H140" s="141">
        <v>47.174</v>
      </c>
      <c r="I140" s="230" t="s">
        <v>65</v>
      </c>
      <c r="J140" s="229">
        <v>4</v>
      </c>
      <c r="K140" s="223">
        <f t="shared" si="29"/>
        <v>-91.5207529571374</v>
      </c>
      <c r="L140" s="141"/>
      <c r="M140" s="223">
        <f t="shared" si="34"/>
        <v>-100</v>
      </c>
      <c r="N140" s="223">
        <f t="shared" si="37"/>
        <v>-4</v>
      </c>
      <c r="O140" s="223"/>
      <c r="P140" s="249">
        <f>F140</f>
        <v>0</v>
      </c>
      <c r="Q140" s="250">
        <f t="shared" si="30"/>
        <v>-100</v>
      </c>
      <c r="R140" s="249">
        <f>F140*1.03</f>
        <v>0</v>
      </c>
      <c r="S140" s="256">
        <f t="shared" si="31"/>
        <v>-100</v>
      </c>
      <c r="T140" s="256">
        <f t="shared" si="32"/>
        <v>-100</v>
      </c>
      <c r="U140" s="250">
        <f t="shared" si="28"/>
        <v>-4</v>
      </c>
      <c r="V140" s="267" t="e">
        <f t="shared" si="36"/>
        <v>#REF!</v>
      </c>
      <c r="W140" s="30"/>
    </row>
    <row r="141" spans="1:23" ht="12.75">
      <c r="A141" s="12" t="s">
        <v>31</v>
      </c>
      <c r="B141" s="13" t="s">
        <v>107</v>
      </c>
      <c r="C141" s="40" t="s">
        <v>77</v>
      </c>
      <c r="D141" s="141"/>
      <c r="E141" s="229"/>
      <c r="F141" s="141"/>
      <c r="G141" s="229"/>
      <c r="H141" s="141">
        <v>1106.81328</v>
      </c>
      <c r="I141" s="230" t="s">
        <v>65</v>
      </c>
      <c r="J141" s="229"/>
      <c r="K141" s="223">
        <f t="shared" si="29"/>
        <v>-100</v>
      </c>
      <c r="L141" s="141"/>
      <c r="M141" s="223">
        <f t="shared" si="34"/>
        <v>-100</v>
      </c>
      <c r="N141" s="223">
        <f t="shared" si="37"/>
        <v>0</v>
      </c>
      <c r="O141" s="223"/>
      <c r="P141" s="249">
        <f>F141</f>
        <v>0</v>
      </c>
      <c r="Q141" s="250">
        <f t="shared" si="30"/>
        <v>-100</v>
      </c>
      <c r="R141" s="249">
        <f>F141*1.03</f>
        <v>0</v>
      </c>
      <c r="S141" s="256">
        <f t="shared" si="31"/>
        <v>-100</v>
      </c>
      <c r="T141" s="256">
        <f t="shared" si="32"/>
        <v>-100</v>
      </c>
      <c r="U141" s="250">
        <f t="shared" si="28"/>
        <v>0</v>
      </c>
      <c r="V141" s="267" t="e">
        <f t="shared" si="36"/>
        <v>#REF!</v>
      </c>
      <c r="W141" s="37"/>
    </row>
    <row r="142" spans="1:23" ht="12.75">
      <c r="A142" s="12" t="s">
        <v>31</v>
      </c>
      <c r="B142" s="13" t="s">
        <v>108</v>
      </c>
      <c r="C142" s="40" t="s">
        <v>77</v>
      </c>
      <c r="D142" s="141"/>
      <c r="E142" s="229"/>
      <c r="F142" s="141"/>
      <c r="G142" s="229"/>
      <c r="H142" s="141">
        <v>384.8904</v>
      </c>
      <c r="I142" s="230" t="s">
        <v>65</v>
      </c>
      <c r="J142" s="229"/>
      <c r="K142" s="223">
        <f t="shared" si="29"/>
        <v>-100</v>
      </c>
      <c r="L142" s="141"/>
      <c r="M142" s="223">
        <f t="shared" si="34"/>
        <v>-100</v>
      </c>
      <c r="N142" s="223">
        <f t="shared" si="37"/>
        <v>0</v>
      </c>
      <c r="O142" s="223"/>
      <c r="P142" s="249">
        <f>F142</f>
        <v>0</v>
      </c>
      <c r="Q142" s="250">
        <f t="shared" si="30"/>
        <v>-100</v>
      </c>
      <c r="R142" s="249">
        <f>F142*1.03</f>
        <v>0</v>
      </c>
      <c r="S142" s="256">
        <f t="shared" si="31"/>
        <v>-100</v>
      </c>
      <c r="T142" s="256">
        <f t="shared" si="32"/>
        <v>-100</v>
      </c>
      <c r="U142" s="250">
        <f t="shared" si="28"/>
        <v>0</v>
      </c>
      <c r="V142" s="267" t="e">
        <f t="shared" si="36"/>
        <v>#REF!</v>
      </c>
      <c r="W142" s="37"/>
    </row>
    <row r="143" spans="1:23" ht="12.75">
      <c r="A143" s="12" t="s">
        <v>31</v>
      </c>
      <c r="B143" s="13" t="s">
        <v>103</v>
      </c>
      <c r="C143" s="40" t="s">
        <v>77</v>
      </c>
      <c r="D143" s="141"/>
      <c r="E143" s="229"/>
      <c r="F143" s="141"/>
      <c r="G143" s="229"/>
      <c r="H143" s="141">
        <v>1768.8808</v>
      </c>
      <c r="I143" s="230" t="s">
        <v>65</v>
      </c>
      <c r="J143" s="229">
        <v>1.8</v>
      </c>
      <c r="K143" s="223">
        <f t="shared" si="29"/>
        <v>-99.89824074069887</v>
      </c>
      <c r="L143" s="141"/>
      <c r="M143" s="223">
        <f t="shared" si="34"/>
        <v>-100</v>
      </c>
      <c r="N143" s="223">
        <f t="shared" si="37"/>
        <v>-1.8</v>
      </c>
      <c r="O143" s="223"/>
      <c r="P143" s="249">
        <f>F143</f>
        <v>0</v>
      </c>
      <c r="Q143" s="250">
        <f t="shared" si="30"/>
        <v>-100</v>
      </c>
      <c r="R143" s="249">
        <f>F143*1.03</f>
        <v>0</v>
      </c>
      <c r="S143" s="256">
        <f t="shared" si="31"/>
        <v>-100</v>
      </c>
      <c r="T143" s="256">
        <f t="shared" si="32"/>
        <v>-100</v>
      </c>
      <c r="U143" s="250">
        <f t="shared" si="28"/>
        <v>-1.8</v>
      </c>
      <c r="V143" s="267" t="e">
        <f t="shared" si="36"/>
        <v>#REF!</v>
      </c>
      <c r="W143" s="37"/>
    </row>
    <row r="144" spans="1:24" s="33" customFormat="1" ht="25.5">
      <c r="A144" s="174">
        <v>21</v>
      </c>
      <c r="B144" s="167" t="s">
        <v>109</v>
      </c>
      <c r="C144" s="168" t="s">
        <v>77</v>
      </c>
      <c r="D144" s="181">
        <f>D145+D146</f>
        <v>0</v>
      </c>
      <c r="E144" s="181">
        <f aca="true" t="shared" si="39" ref="E144:L144">E145+E146</f>
        <v>0</v>
      </c>
      <c r="F144" s="181">
        <f t="shared" si="39"/>
        <v>0</v>
      </c>
      <c r="G144" s="181">
        <f t="shared" si="39"/>
        <v>0</v>
      </c>
      <c r="H144" s="181">
        <v>141</v>
      </c>
      <c r="I144" s="266" t="s">
        <v>65</v>
      </c>
      <c r="J144" s="181">
        <f t="shared" si="39"/>
        <v>0</v>
      </c>
      <c r="K144" s="182">
        <f t="shared" si="29"/>
        <v>-100</v>
      </c>
      <c r="L144" s="181">
        <f t="shared" si="39"/>
        <v>0</v>
      </c>
      <c r="M144" s="182">
        <f t="shared" si="34"/>
        <v>-100</v>
      </c>
      <c r="N144" s="181">
        <f t="shared" si="37"/>
        <v>0</v>
      </c>
      <c r="O144" s="181">
        <f>L144/($L$163+1E-103)*100</f>
        <v>0</v>
      </c>
      <c r="P144" s="180" t="e">
        <f>P145+P146+#REF!</f>
        <v>#REF!</v>
      </c>
      <c r="Q144" s="172" t="e">
        <f t="shared" si="30"/>
        <v>#REF!</v>
      </c>
      <c r="R144" s="180" t="e">
        <f>R145+R146+#REF!</f>
        <v>#REF!</v>
      </c>
      <c r="S144" s="171" t="e">
        <f t="shared" si="31"/>
        <v>#REF!</v>
      </c>
      <c r="T144" s="171" t="e">
        <f t="shared" si="32"/>
        <v>#REF!</v>
      </c>
      <c r="U144" s="172" t="e">
        <f t="shared" si="28"/>
        <v>#REF!</v>
      </c>
      <c r="V144" s="175" t="e">
        <f t="shared" si="36"/>
        <v>#REF!</v>
      </c>
      <c r="W144" s="179"/>
      <c r="X144" s="50"/>
    </row>
    <row r="145" spans="1:23" ht="12.75">
      <c r="A145" s="12" t="s">
        <v>31</v>
      </c>
      <c r="B145" s="13" t="s">
        <v>110</v>
      </c>
      <c r="C145" s="40" t="s">
        <v>77</v>
      </c>
      <c r="D145" s="141"/>
      <c r="E145" s="229"/>
      <c r="F145" s="141"/>
      <c r="G145" s="229"/>
      <c r="H145" s="141"/>
      <c r="I145" s="230" t="s">
        <v>65</v>
      </c>
      <c r="J145" s="229"/>
      <c r="K145" s="223">
        <f t="shared" si="29"/>
        <v>-100</v>
      </c>
      <c r="L145" s="141"/>
      <c r="M145" s="223">
        <f t="shared" si="34"/>
        <v>-100</v>
      </c>
      <c r="N145" s="223">
        <f t="shared" si="37"/>
        <v>0</v>
      </c>
      <c r="O145" s="223"/>
      <c r="P145" s="249">
        <f>F145</f>
        <v>0</v>
      </c>
      <c r="Q145" s="250">
        <f t="shared" si="30"/>
        <v>-100</v>
      </c>
      <c r="R145" s="249">
        <f>F145</f>
        <v>0</v>
      </c>
      <c r="S145" s="256">
        <f t="shared" si="31"/>
        <v>-100</v>
      </c>
      <c r="T145" s="256">
        <f t="shared" si="32"/>
        <v>-100</v>
      </c>
      <c r="U145" s="250">
        <f t="shared" si="28"/>
        <v>0</v>
      </c>
      <c r="V145" s="267" t="e">
        <f t="shared" si="36"/>
        <v>#REF!</v>
      </c>
      <c r="W145" s="30"/>
    </row>
    <row r="146" spans="1:23" ht="12.75">
      <c r="A146" s="12" t="s">
        <v>31</v>
      </c>
      <c r="B146" s="13" t="s">
        <v>111</v>
      </c>
      <c r="C146" s="40" t="s">
        <v>77</v>
      </c>
      <c r="D146" s="141"/>
      <c r="E146" s="229"/>
      <c r="F146" s="141"/>
      <c r="G146" s="229"/>
      <c r="H146" s="141">
        <v>141</v>
      </c>
      <c r="I146" s="230" t="s">
        <v>65</v>
      </c>
      <c r="J146" s="229"/>
      <c r="K146" s="223">
        <f t="shared" si="29"/>
        <v>-100</v>
      </c>
      <c r="L146" s="141"/>
      <c r="M146" s="223">
        <f t="shared" si="34"/>
        <v>-100</v>
      </c>
      <c r="N146" s="223">
        <f t="shared" si="37"/>
        <v>0</v>
      </c>
      <c r="O146" s="223"/>
      <c r="P146" s="249">
        <f>F146</f>
        <v>0</v>
      </c>
      <c r="Q146" s="250">
        <f t="shared" si="30"/>
        <v>-100</v>
      </c>
      <c r="R146" s="249">
        <f>F146</f>
        <v>0</v>
      </c>
      <c r="S146" s="256">
        <f t="shared" si="31"/>
        <v>-100</v>
      </c>
      <c r="T146" s="256">
        <f t="shared" si="32"/>
        <v>-100</v>
      </c>
      <c r="U146" s="250">
        <f t="shared" si="28"/>
        <v>0</v>
      </c>
      <c r="V146" s="267" t="e">
        <f t="shared" si="36"/>
        <v>#REF!</v>
      </c>
      <c r="W146" s="30"/>
    </row>
    <row r="147" spans="1:23" ht="25.5">
      <c r="A147" s="3">
        <v>22</v>
      </c>
      <c r="B147" s="13" t="s">
        <v>113</v>
      </c>
      <c r="C147" s="40" t="s">
        <v>77</v>
      </c>
      <c r="D147" s="141"/>
      <c r="E147" s="229"/>
      <c r="F147" s="141"/>
      <c r="G147" s="229"/>
      <c r="H147" s="141"/>
      <c r="I147" s="230" t="s">
        <v>65</v>
      </c>
      <c r="J147" s="229"/>
      <c r="K147" s="223">
        <f t="shared" si="29"/>
        <v>-100</v>
      </c>
      <c r="L147" s="141"/>
      <c r="M147" s="223">
        <f t="shared" si="34"/>
        <v>-100</v>
      </c>
      <c r="N147" s="223">
        <f t="shared" si="37"/>
        <v>0</v>
      </c>
      <c r="O147" s="223">
        <f>L147/($L$163+1E-103)*100</f>
        <v>0</v>
      </c>
      <c r="P147" s="274">
        <f>F147*1.06</f>
        <v>0</v>
      </c>
      <c r="Q147" s="250">
        <f t="shared" si="30"/>
        <v>-100</v>
      </c>
      <c r="R147" s="274">
        <f>F147*1.12</f>
        <v>0</v>
      </c>
      <c r="S147" s="256">
        <f t="shared" si="31"/>
        <v>-100</v>
      </c>
      <c r="T147" s="256">
        <f t="shared" si="32"/>
        <v>-100</v>
      </c>
      <c r="U147" s="250">
        <f t="shared" si="28"/>
        <v>0</v>
      </c>
      <c r="V147" s="267" t="e">
        <f t="shared" si="36"/>
        <v>#REF!</v>
      </c>
      <c r="W147" s="30"/>
    </row>
    <row r="148" spans="1:24" ht="25.5" customHeight="1">
      <c r="A148" s="202">
        <v>23</v>
      </c>
      <c r="B148" s="203" t="s">
        <v>114</v>
      </c>
      <c r="C148" s="204" t="s">
        <v>77</v>
      </c>
      <c r="D148" s="209">
        <f>D102+D111+D116+D117+D118+D121+D122+D123+D127+D133+D139+D144+D147</f>
        <v>0</v>
      </c>
      <c r="E148" s="209">
        <f>E102+E111+E116+E117+E118+E121+E122+E123+E127+E133+E139+E144+E147</f>
        <v>0</v>
      </c>
      <c r="F148" s="209">
        <f>F102+F111+F116+F117+F118+F121+F122+F123+F127+F133+F139+F144+F147</f>
        <v>0</v>
      </c>
      <c r="G148" s="209">
        <f>G102+G111+G116+G117+G118+G121+G122+G123+G127+G133+G139+G144+G147</f>
        <v>0</v>
      </c>
      <c r="H148" s="209">
        <f>I102+I111+I116+I117+I118+I121+I122+I123+I127+H133+H139+H144+H147</f>
        <v>4852.1726046</v>
      </c>
      <c r="I148" s="276" t="s">
        <v>65</v>
      </c>
      <c r="J148" s="209">
        <f>J102+J111+J116+J117+J118+J121+J122+J123+J127+J133+J139+J144</f>
        <v>372.55516120000004</v>
      </c>
      <c r="K148" s="209">
        <f t="shared" si="29"/>
        <v>-92.32188976857898</v>
      </c>
      <c r="L148" s="209">
        <f>M102+M111+M116+M117+M118+M121+M122+M123+M127+L133+L139+L144+L147</f>
        <v>0</v>
      </c>
      <c r="M148" s="209">
        <f t="shared" si="34"/>
        <v>-100</v>
      </c>
      <c r="N148" s="209">
        <f t="shared" si="37"/>
        <v>-372.55516120000004</v>
      </c>
      <c r="O148" s="209"/>
      <c r="P148" s="44" t="e">
        <f>Q102+Q111+Q116+Q117+Q118+Q121+Q122+Q123+Q127+P133+P139+P144+P147</f>
        <v>#REF!</v>
      </c>
      <c r="Q148" s="44" t="e">
        <f t="shared" si="30"/>
        <v>#REF!</v>
      </c>
      <c r="R148" s="45" t="e">
        <f>S102+S111+S116+S117+S118+S121+S122+S123+S127+R133+R139+R144+R147</f>
        <v>#REF!</v>
      </c>
      <c r="S148" s="206" t="e">
        <f t="shared" si="31"/>
        <v>#REF!</v>
      </c>
      <c r="T148" s="206" t="e">
        <f t="shared" si="32"/>
        <v>#REF!</v>
      </c>
      <c r="U148" s="44" t="e">
        <f t="shared" si="28"/>
        <v>#REF!</v>
      </c>
      <c r="V148" s="205" t="e">
        <f t="shared" si="36"/>
        <v>#REF!</v>
      </c>
      <c r="W148" s="207"/>
      <c r="X148" s="373"/>
    </row>
    <row r="149" spans="1:23" ht="18.75" customHeight="1">
      <c r="A149" s="202">
        <v>24</v>
      </c>
      <c r="B149" s="203" t="s">
        <v>115</v>
      </c>
      <c r="C149" s="208" t="s">
        <v>116</v>
      </c>
      <c r="D149" s="209">
        <f>D148/(D23+1E-100)*1000</f>
        <v>0</v>
      </c>
      <c r="E149" s="209">
        <f>E148/(E23+1E-100)*1000</f>
        <v>0</v>
      </c>
      <c r="F149" s="209">
        <f>F148/(F23+1E-100)*1000</f>
        <v>0</v>
      </c>
      <c r="G149" s="209">
        <f>G148/(G23+1E-100)*1000</f>
        <v>0</v>
      </c>
      <c r="H149" s="209">
        <f>H148/(H23+1E-100)*1000</f>
        <v>31.087779585859753</v>
      </c>
      <c r="I149" s="276" t="s">
        <v>65</v>
      </c>
      <c r="J149" s="315">
        <f>J148/J23*1000</f>
        <v>2056.0439359823404</v>
      </c>
      <c r="K149" s="209"/>
      <c r="L149" s="209">
        <f>L148/(M23+1E-100)*1000</f>
        <v>0</v>
      </c>
      <c r="M149" s="209">
        <f t="shared" si="34"/>
        <v>-100</v>
      </c>
      <c r="N149" s="209">
        <f t="shared" si="37"/>
        <v>-2056.0439359823404</v>
      </c>
      <c r="O149" s="209"/>
      <c r="P149" s="61" t="e">
        <f>P148/(Q23+1E-100)*1000</f>
        <v>#REF!</v>
      </c>
      <c r="Q149" s="41" t="e">
        <f t="shared" si="30"/>
        <v>#REF!</v>
      </c>
      <c r="R149" s="210" t="e">
        <f>R148/(S23+1E-100)*1000</f>
        <v>#REF!</v>
      </c>
      <c r="S149" s="206" t="e">
        <f t="shared" si="31"/>
        <v>#REF!</v>
      </c>
      <c r="T149" s="206" t="e">
        <f t="shared" si="32"/>
        <v>#REF!</v>
      </c>
      <c r="U149" s="44" t="e">
        <f t="shared" si="28"/>
        <v>#REF!</v>
      </c>
      <c r="V149" s="205" t="e">
        <f t="shared" si="36"/>
        <v>#REF!</v>
      </c>
      <c r="W149" s="211"/>
    </row>
    <row r="150" spans="1:23" ht="12.75" customHeight="1">
      <c r="A150" s="12"/>
      <c r="B150" s="13" t="s">
        <v>117</v>
      </c>
      <c r="C150" s="131" t="s">
        <v>26</v>
      </c>
      <c r="D150" s="219">
        <f aca="true" t="shared" si="40" ref="D150:J150">D151/(D148+1E-95)*100</f>
        <v>0</v>
      </c>
      <c r="E150" s="214">
        <f t="shared" si="40"/>
        <v>0</v>
      </c>
      <c r="F150" s="219">
        <f t="shared" si="40"/>
        <v>0</v>
      </c>
      <c r="G150" s="214">
        <f t="shared" si="40"/>
        <v>0</v>
      </c>
      <c r="H150" s="219">
        <f t="shared" si="40"/>
        <v>0</v>
      </c>
      <c r="I150" s="224" t="s">
        <v>65</v>
      </c>
      <c r="J150" s="214">
        <f t="shared" si="40"/>
        <v>2.2546996726454154</v>
      </c>
      <c r="K150" s="223">
        <f t="shared" si="29"/>
        <v>2.2546996726454153E+135</v>
      </c>
      <c r="L150" s="219">
        <f>L151/(L148+1E-95)*100</f>
        <v>0</v>
      </c>
      <c r="M150" s="223">
        <f t="shared" si="34"/>
        <v>-100</v>
      </c>
      <c r="N150" s="214">
        <f t="shared" si="37"/>
        <v>-2.2546996726454154</v>
      </c>
      <c r="O150" s="223"/>
      <c r="P150" s="56" t="e">
        <f>P151/(P148+1E-95)*100</f>
        <v>#REF!</v>
      </c>
      <c r="Q150" s="48" t="e">
        <f t="shared" si="30"/>
        <v>#REF!</v>
      </c>
      <c r="R150" s="56" t="e">
        <f>R151/(R148+1E-95)*100</f>
        <v>#REF!</v>
      </c>
      <c r="S150" s="17" t="e">
        <f t="shared" si="31"/>
        <v>#REF!</v>
      </c>
      <c r="T150" s="17" t="e">
        <f t="shared" si="32"/>
        <v>#REF!</v>
      </c>
      <c r="U150" s="16" t="e">
        <f t="shared" si="28"/>
        <v>#REF!</v>
      </c>
      <c r="V150" s="36" t="e">
        <f t="shared" si="36"/>
        <v>#REF!</v>
      </c>
      <c r="W150" s="30"/>
    </row>
    <row r="151" spans="1:23" ht="12.75" customHeight="1">
      <c r="A151" s="174">
        <v>25</v>
      </c>
      <c r="B151" s="198" t="s">
        <v>118</v>
      </c>
      <c r="C151" s="186" t="s">
        <v>119</v>
      </c>
      <c r="D151" s="182">
        <f>D152+D153+D154+D155+D157+D158</f>
        <v>0</v>
      </c>
      <c r="E151" s="182">
        <f aca="true" t="shared" si="41" ref="E151:L151">E152+E153+E154+E155+E157+E158</f>
        <v>0</v>
      </c>
      <c r="F151" s="182">
        <f t="shared" si="41"/>
        <v>0</v>
      </c>
      <c r="G151" s="182">
        <f t="shared" si="41"/>
        <v>0</v>
      </c>
      <c r="H151" s="182">
        <f t="shared" si="41"/>
        <v>0</v>
      </c>
      <c r="I151" s="181" t="s">
        <v>65</v>
      </c>
      <c r="J151" s="182">
        <f t="shared" si="41"/>
        <v>8.4</v>
      </c>
      <c r="K151" s="182">
        <f t="shared" si="29"/>
        <v>8.4E+135</v>
      </c>
      <c r="L151" s="182">
        <f t="shared" si="41"/>
        <v>0</v>
      </c>
      <c r="M151" s="182">
        <f t="shared" si="34"/>
        <v>-100</v>
      </c>
      <c r="N151" s="182">
        <f t="shared" si="37"/>
        <v>-8.4</v>
      </c>
      <c r="O151" s="182">
        <f>L151/($L$163+1E-103)*100</f>
        <v>0</v>
      </c>
      <c r="P151" s="199">
        <f>P152+P153+P154+P155+P158</f>
        <v>0</v>
      </c>
      <c r="Q151" s="200">
        <f t="shared" si="30"/>
        <v>-100</v>
      </c>
      <c r="R151" s="199">
        <f>R152+R153+R154+R155+R158</f>
        <v>0</v>
      </c>
      <c r="S151" s="201">
        <f t="shared" si="31"/>
        <v>-100</v>
      </c>
      <c r="T151" s="201">
        <f t="shared" si="32"/>
        <v>-100</v>
      </c>
      <c r="U151" s="170">
        <f t="shared" si="28"/>
        <v>-8.4</v>
      </c>
      <c r="V151" s="169" t="e">
        <f t="shared" si="36"/>
        <v>#REF!</v>
      </c>
      <c r="W151" s="173"/>
    </row>
    <row r="152" spans="1:23" ht="38.25" customHeight="1">
      <c r="A152" s="12" t="s">
        <v>31</v>
      </c>
      <c r="B152" s="520" t="s">
        <v>120</v>
      </c>
      <c r="C152" s="520"/>
      <c r="D152" s="141"/>
      <c r="E152" s="229"/>
      <c r="F152" s="141"/>
      <c r="G152" s="229"/>
      <c r="H152" s="141"/>
      <c r="I152" s="229"/>
      <c r="J152" s="229"/>
      <c r="K152" s="223">
        <f t="shared" si="29"/>
        <v>-100</v>
      </c>
      <c r="L152" s="141"/>
      <c r="M152" s="223">
        <f t="shared" si="34"/>
        <v>-100</v>
      </c>
      <c r="N152" s="223">
        <f t="shared" si="37"/>
        <v>0</v>
      </c>
      <c r="O152" s="223"/>
      <c r="P152" s="275">
        <f>F152</f>
        <v>0</v>
      </c>
      <c r="Q152" s="272">
        <f t="shared" si="30"/>
        <v>-100</v>
      </c>
      <c r="R152" s="275">
        <f>F152</f>
        <v>0</v>
      </c>
      <c r="S152" s="256">
        <f t="shared" si="31"/>
        <v>-100</v>
      </c>
      <c r="T152" s="256">
        <f t="shared" si="32"/>
        <v>-100</v>
      </c>
      <c r="U152" s="250">
        <f t="shared" si="28"/>
        <v>0</v>
      </c>
      <c r="V152" s="267" t="e">
        <f t="shared" si="36"/>
        <v>#REF!</v>
      </c>
      <c r="W152" s="30"/>
    </row>
    <row r="153" spans="1:23" ht="12.75">
      <c r="A153" s="12" t="s">
        <v>31</v>
      </c>
      <c r="B153" s="443" t="s">
        <v>121</v>
      </c>
      <c r="C153" s="443"/>
      <c r="D153" s="232"/>
      <c r="E153" s="229"/>
      <c r="F153" s="141"/>
      <c r="G153" s="229"/>
      <c r="H153" s="141"/>
      <c r="I153" s="229"/>
      <c r="J153" s="229"/>
      <c r="K153" s="223">
        <f t="shared" si="29"/>
        <v>-100</v>
      </c>
      <c r="L153" s="141"/>
      <c r="M153" s="223">
        <f t="shared" si="34"/>
        <v>-100</v>
      </c>
      <c r="N153" s="223">
        <f t="shared" si="37"/>
        <v>0</v>
      </c>
      <c r="O153" s="223"/>
      <c r="P153" s="275">
        <f aca="true" t="shared" si="42" ref="P153:P161">F153</f>
        <v>0</v>
      </c>
      <c r="Q153" s="272">
        <f t="shared" si="30"/>
        <v>-100</v>
      </c>
      <c r="R153" s="275">
        <f>F153*1.051</f>
        <v>0</v>
      </c>
      <c r="S153" s="256">
        <f t="shared" si="31"/>
        <v>-100</v>
      </c>
      <c r="T153" s="256">
        <f t="shared" si="32"/>
        <v>-100</v>
      </c>
      <c r="U153" s="250">
        <f t="shared" si="28"/>
        <v>0</v>
      </c>
      <c r="V153" s="267" t="e">
        <f t="shared" si="36"/>
        <v>#REF!</v>
      </c>
      <c r="W153" s="30"/>
    </row>
    <row r="154" spans="1:23" ht="12.75">
      <c r="A154" s="12" t="s">
        <v>31</v>
      </c>
      <c r="B154" s="443" t="s">
        <v>122</v>
      </c>
      <c r="C154" s="443"/>
      <c r="D154" s="232"/>
      <c r="E154" s="229"/>
      <c r="F154" s="141"/>
      <c r="G154" s="229"/>
      <c r="H154" s="141"/>
      <c r="I154" s="229"/>
      <c r="J154" s="229"/>
      <c r="K154" s="223">
        <f t="shared" si="29"/>
        <v>-100</v>
      </c>
      <c r="L154" s="141"/>
      <c r="M154" s="223">
        <f t="shared" si="34"/>
        <v>-100</v>
      </c>
      <c r="N154" s="223">
        <f t="shared" si="37"/>
        <v>0</v>
      </c>
      <c r="O154" s="223"/>
      <c r="P154" s="275">
        <f t="shared" si="42"/>
        <v>0</v>
      </c>
      <c r="Q154" s="272">
        <f t="shared" si="30"/>
        <v>-100</v>
      </c>
      <c r="R154" s="275">
        <f>F154*1.051</f>
        <v>0</v>
      </c>
      <c r="S154" s="256">
        <f t="shared" si="31"/>
        <v>-100</v>
      </c>
      <c r="T154" s="256">
        <f t="shared" si="32"/>
        <v>-100</v>
      </c>
      <c r="U154" s="250">
        <f t="shared" si="28"/>
        <v>0</v>
      </c>
      <c r="V154" s="267" t="e">
        <f t="shared" si="36"/>
        <v>#REF!</v>
      </c>
      <c r="W154" s="30"/>
    </row>
    <row r="155" spans="1:23" ht="12.75">
      <c r="A155" s="12" t="s">
        <v>31</v>
      </c>
      <c r="B155" s="443" t="s">
        <v>123</v>
      </c>
      <c r="C155" s="443"/>
      <c r="D155" s="232"/>
      <c r="E155" s="229"/>
      <c r="F155" s="141"/>
      <c r="G155" s="229"/>
      <c r="H155" s="141"/>
      <c r="I155" s="229"/>
      <c r="J155" s="229">
        <v>8.4</v>
      </c>
      <c r="K155" s="223">
        <f t="shared" si="29"/>
        <v>8.4E+135</v>
      </c>
      <c r="L155" s="141"/>
      <c r="M155" s="223">
        <f t="shared" si="34"/>
        <v>-100</v>
      </c>
      <c r="N155" s="223">
        <f t="shared" si="37"/>
        <v>-8.4</v>
      </c>
      <c r="O155" s="223"/>
      <c r="P155" s="275">
        <f t="shared" si="42"/>
        <v>0</v>
      </c>
      <c r="Q155" s="272">
        <f t="shared" si="30"/>
        <v>-100</v>
      </c>
      <c r="R155" s="275">
        <f>F155*1.051</f>
        <v>0</v>
      </c>
      <c r="S155" s="256">
        <f t="shared" si="31"/>
        <v>-100</v>
      </c>
      <c r="T155" s="256">
        <f t="shared" si="32"/>
        <v>-100</v>
      </c>
      <c r="U155" s="250">
        <f t="shared" si="28"/>
        <v>-8.4</v>
      </c>
      <c r="V155" s="267" t="e">
        <f t="shared" si="36"/>
        <v>#REF!</v>
      </c>
      <c r="W155" s="30"/>
    </row>
    <row r="156" spans="1:23" ht="12.75">
      <c r="A156" s="12"/>
      <c r="B156" s="444" t="s">
        <v>124</v>
      </c>
      <c r="C156" s="444"/>
      <c r="D156" s="232"/>
      <c r="E156" s="229"/>
      <c r="F156" s="141"/>
      <c r="G156" s="229"/>
      <c r="H156" s="141"/>
      <c r="I156" s="229"/>
      <c r="J156" s="229"/>
      <c r="K156" s="223">
        <f t="shared" si="29"/>
        <v>-100</v>
      </c>
      <c r="L156" s="141"/>
      <c r="M156" s="223">
        <f>L156/(H156+1E-106)*100-100</f>
        <v>-100</v>
      </c>
      <c r="N156" s="223">
        <f>L156-J156</f>
        <v>0</v>
      </c>
      <c r="O156" s="223"/>
      <c r="P156" s="275">
        <f t="shared" si="42"/>
        <v>0</v>
      </c>
      <c r="Q156" s="272">
        <f t="shared" si="30"/>
        <v>-100</v>
      </c>
      <c r="R156" s="275">
        <f>F156*1.051</f>
        <v>0</v>
      </c>
      <c r="S156" s="256">
        <f t="shared" si="31"/>
        <v>-100</v>
      </c>
      <c r="T156" s="256">
        <f t="shared" si="32"/>
        <v>-100</v>
      </c>
      <c r="U156" s="250">
        <f t="shared" si="28"/>
        <v>0</v>
      </c>
      <c r="V156" s="267" t="e">
        <f t="shared" si="36"/>
        <v>#REF!</v>
      </c>
      <c r="W156" s="30"/>
    </row>
    <row r="157" spans="1:23" ht="12.75">
      <c r="A157" s="12" t="s">
        <v>31</v>
      </c>
      <c r="B157" s="13" t="s">
        <v>112</v>
      </c>
      <c r="C157" s="132"/>
      <c r="D157" s="232"/>
      <c r="E157" s="229"/>
      <c r="F157" s="141"/>
      <c r="G157" s="229"/>
      <c r="H157" s="141"/>
      <c r="I157" s="229"/>
      <c r="J157" s="229"/>
      <c r="K157" s="223">
        <f t="shared" si="29"/>
        <v>-100</v>
      </c>
      <c r="L157" s="141"/>
      <c r="M157" s="223">
        <f>L157/(H157+1E-106)*100-100</f>
        <v>-100</v>
      </c>
      <c r="N157" s="223">
        <f>L157-J157</f>
        <v>0</v>
      </c>
      <c r="O157" s="223"/>
      <c r="P157" s="275"/>
      <c r="Q157" s="272"/>
      <c r="R157" s="275"/>
      <c r="S157" s="256"/>
      <c r="T157" s="256"/>
      <c r="U157" s="250"/>
      <c r="V157" s="267"/>
      <c r="W157" s="30"/>
    </row>
    <row r="158" spans="1:23" ht="25.5">
      <c r="A158" s="12" t="s">
        <v>31</v>
      </c>
      <c r="B158" s="158" t="s">
        <v>125</v>
      </c>
      <c r="C158" s="131"/>
      <c r="D158" s="141"/>
      <c r="E158" s="229"/>
      <c r="F158" s="141"/>
      <c r="G158" s="229"/>
      <c r="H158" s="141"/>
      <c r="I158" s="229"/>
      <c r="J158" s="229"/>
      <c r="K158" s="223">
        <f t="shared" si="29"/>
        <v>-100</v>
      </c>
      <c r="L158" s="141"/>
      <c r="M158" s="223">
        <f>L158/(H158+1E-106)*100-100</f>
        <v>-100</v>
      </c>
      <c r="N158" s="223">
        <f>L158-J158</f>
        <v>0</v>
      </c>
      <c r="O158" s="223"/>
      <c r="P158" s="275">
        <f t="shared" si="42"/>
        <v>0</v>
      </c>
      <c r="Q158" s="272">
        <f aca="true" t="shared" si="43" ref="Q158:Q164">P158/(F158+1E-106)*100-100</f>
        <v>-100</v>
      </c>
      <c r="R158" s="275">
        <f>F158</f>
        <v>0</v>
      </c>
      <c r="S158" s="256">
        <f aca="true" t="shared" si="44" ref="S158:S164">R158/(P158+1E-106)*100-100</f>
        <v>-100</v>
      </c>
      <c r="T158" s="256">
        <f aca="true" t="shared" si="45" ref="T158:T164">R158/(F158+1E-106)*100-100</f>
        <v>-100</v>
      </c>
      <c r="U158" s="250">
        <f aca="true" t="shared" si="46" ref="U158:U164">R158-J158</f>
        <v>0</v>
      </c>
      <c r="V158" s="267" t="e">
        <f aca="true" t="shared" si="47" ref="V158:V163">R158/($R$163+1E-103)*100</f>
        <v>#REF!</v>
      </c>
      <c r="W158" s="30"/>
    </row>
    <row r="159" spans="1:23" ht="12.75">
      <c r="A159" s="12"/>
      <c r="B159" s="57" t="s">
        <v>126</v>
      </c>
      <c r="C159" s="131"/>
      <c r="D159" s="141"/>
      <c r="E159" s="229"/>
      <c r="F159" s="141"/>
      <c r="G159" s="229"/>
      <c r="H159" s="141"/>
      <c r="I159" s="229"/>
      <c r="J159" s="229"/>
      <c r="K159" s="223">
        <f t="shared" si="29"/>
        <v>-100</v>
      </c>
      <c r="L159" s="141"/>
      <c r="M159" s="223">
        <f aca="true" t="shared" si="48" ref="M159:M164">L159/(H159+1E-106)*100-100</f>
        <v>-100</v>
      </c>
      <c r="N159" s="223">
        <f aca="true" t="shared" si="49" ref="N159:N164">L159-J159</f>
        <v>0</v>
      </c>
      <c r="O159" s="223"/>
      <c r="P159" s="275">
        <f t="shared" si="42"/>
        <v>0</v>
      </c>
      <c r="Q159" s="272">
        <f t="shared" si="43"/>
        <v>-100</v>
      </c>
      <c r="R159" s="275">
        <f>F159</f>
        <v>0</v>
      </c>
      <c r="S159" s="256">
        <f t="shared" si="44"/>
        <v>-100</v>
      </c>
      <c r="T159" s="256">
        <f t="shared" si="45"/>
        <v>-100</v>
      </c>
      <c r="U159" s="250">
        <f t="shared" si="46"/>
        <v>0</v>
      </c>
      <c r="V159" s="267" t="e">
        <f t="shared" si="47"/>
        <v>#REF!</v>
      </c>
      <c r="W159" s="30"/>
    </row>
    <row r="160" spans="1:23" ht="13.5">
      <c r="A160" s="12"/>
      <c r="B160" s="58" t="s">
        <v>199</v>
      </c>
      <c r="C160" s="131" t="s">
        <v>119</v>
      </c>
      <c r="D160" s="220"/>
      <c r="E160" s="224">
        <f>E163-E148</f>
        <v>0</v>
      </c>
      <c r="F160" s="220"/>
      <c r="G160" s="224">
        <f>G163-G148</f>
        <v>0</v>
      </c>
      <c r="H160" s="220"/>
      <c r="I160" s="230"/>
      <c r="J160" s="230"/>
      <c r="K160" s="227">
        <f t="shared" si="29"/>
        <v>-100</v>
      </c>
      <c r="L160" s="220"/>
      <c r="M160" s="227">
        <f t="shared" si="48"/>
        <v>-100</v>
      </c>
      <c r="N160" s="227">
        <f t="shared" si="49"/>
        <v>0</v>
      </c>
      <c r="O160" s="227"/>
      <c r="P160" s="275"/>
      <c r="Q160" s="272">
        <f t="shared" si="43"/>
        <v>-100</v>
      </c>
      <c r="R160" s="275"/>
      <c r="S160" s="256">
        <f t="shared" si="44"/>
        <v>-100</v>
      </c>
      <c r="T160" s="256">
        <f t="shared" si="45"/>
        <v>-100</v>
      </c>
      <c r="U160" s="250">
        <f t="shared" si="46"/>
        <v>0</v>
      </c>
      <c r="V160" s="267" t="e">
        <f t="shared" si="47"/>
        <v>#REF!</v>
      </c>
      <c r="W160" s="30"/>
    </row>
    <row r="161" spans="1:23" ht="15.75">
      <c r="A161" s="3">
        <v>26</v>
      </c>
      <c r="B161" s="13" t="s">
        <v>127</v>
      </c>
      <c r="C161" s="131" t="s">
        <v>119</v>
      </c>
      <c r="D161" s="141"/>
      <c r="E161" s="229"/>
      <c r="F161" s="141"/>
      <c r="G161" s="229"/>
      <c r="H161" s="141"/>
      <c r="I161" s="229"/>
      <c r="J161" s="229"/>
      <c r="K161" s="223">
        <f t="shared" si="29"/>
        <v>-100</v>
      </c>
      <c r="L161" s="141"/>
      <c r="M161" s="223">
        <f t="shared" si="48"/>
        <v>-100</v>
      </c>
      <c r="N161" s="223">
        <f t="shared" si="49"/>
        <v>0</v>
      </c>
      <c r="O161" s="223">
        <f>L161/($L$163+1E-103)*100</f>
        <v>0</v>
      </c>
      <c r="P161" s="275">
        <f t="shared" si="42"/>
        <v>0</v>
      </c>
      <c r="Q161" s="272">
        <f t="shared" si="43"/>
        <v>-100</v>
      </c>
      <c r="R161" s="275">
        <f>F161*1.051</f>
        <v>0</v>
      </c>
      <c r="S161" s="256">
        <f t="shared" si="44"/>
        <v>-100</v>
      </c>
      <c r="T161" s="256">
        <f t="shared" si="45"/>
        <v>-100</v>
      </c>
      <c r="U161" s="250">
        <f t="shared" si="46"/>
        <v>0</v>
      </c>
      <c r="V161" s="267" t="e">
        <f t="shared" si="47"/>
        <v>#REF!</v>
      </c>
      <c r="W161" s="59"/>
    </row>
    <row r="162" spans="1:23" ht="25.5">
      <c r="A162" s="3">
        <v>27</v>
      </c>
      <c r="B162" s="13" t="s">
        <v>128</v>
      </c>
      <c r="C162" s="131" t="s">
        <v>119</v>
      </c>
      <c r="D162" s="141"/>
      <c r="E162" s="229"/>
      <c r="F162" s="141"/>
      <c r="G162" s="229"/>
      <c r="H162" s="141"/>
      <c r="I162" s="229"/>
      <c r="J162" s="229"/>
      <c r="K162" s="223">
        <f t="shared" si="29"/>
        <v>-100</v>
      </c>
      <c r="L162" s="141"/>
      <c r="M162" s="223">
        <f t="shared" si="48"/>
        <v>-100</v>
      </c>
      <c r="N162" s="223">
        <f t="shared" si="49"/>
        <v>0</v>
      </c>
      <c r="O162" s="223">
        <f>L162/($L$163+1E-103)*100</f>
        <v>0</v>
      </c>
      <c r="P162" s="275"/>
      <c r="Q162" s="272">
        <f t="shared" si="43"/>
        <v>-100</v>
      </c>
      <c r="R162" s="275"/>
      <c r="S162" s="256">
        <f t="shared" si="44"/>
        <v>-100</v>
      </c>
      <c r="T162" s="256">
        <f t="shared" si="45"/>
        <v>-100</v>
      </c>
      <c r="U162" s="250">
        <f t="shared" si="46"/>
        <v>0</v>
      </c>
      <c r="V162" s="267" t="e">
        <f t="shared" si="47"/>
        <v>#REF!</v>
      </c>
      <c r="W162" s="60"/>
    </row>
    <row r="163" spans="1:23" ht="24" customHeight="1">
      <c r="A163" s="202">
        <v>28</v>
      </c>
      <c r="B163" s="203" t="s">
        <v>129</v>
      </c>
      <c r="C163" s="208" t="s">
        <v>119</v>
      </c>
      <c r="D163" s="209">
        <f>D148+D151+D161+D162</f>
        <v>0</v>
      </c>
      <c r="E163" s="209">
        <f>E185</f>
        <v>0</v>
      </c>
      <c r="F163" s="209">
        <f aca="true" t="shared" si="50" ref="F163:L163">F148+F151+F161+F162</f>
        <v>0</v>
      </c>
      <c r="G163" s="209">
        <f>G185</f>
        <v>0</v>
      </c>
      <c r="H163" s="209">
        <v>157082.00049696714</v>
      </c>
      <c r="I163" s="209" t="s">
        <v>65</v>
      </c>
      <c r="J163" s="209">
        <f t="shared" si="50"/>
        <v>380.9551612</v>
      </c>
      <c r="K163" s="277">
        <f t="shared" si="29"/>
        <v>-99.75748006773865</v>
      </c>
      <c r="L163" s="209">
        <f t="shared" si="50"/>
        <v>0</v>
      </c>
      <c r="M163" s="277">
        <f t="shared" si="48"/>
        <v>-100</v>
      </c>
      <c r="N163" s="209">
        <f t="shared" si="49"/>
        <v>-380.9551612</v>
      </c>
      <c r="O163" s="209">
        <f>P102+P111+P116+P117+P118+P121+P122+P123+P127+O133+O139+O144+O147+O151+O161+O162</f>
        <v>0</v>
      </c>
      <c r="P163" s="61" t="e">
        <f>P148+P151+P161+P162</f>
        <v>#REF!</v>
      </c>
      <c r="Q163" s="41" t="e">
        <f t="shared" si="43"/>
        <v>#REF!</v>
      </c>
      <c r="R163" s="61" t="e">
        <f>R148+R151+R161+R162</f>
        <v>#REF!</v>
      </c>
      <c r="S163" s="25" t="e">
        <f t="shared" si="44"/>
        <v>#REF!</v>
      </c>
      <c r="T163" s="25" t="e">
        <f t="shared" si="45"/>
        <v>#REF!</v>
      </c>
      <c r="U163" s="25" t="e">
        <f t="shared" si="46"/>
        <v>#REF!</v>
      </c>
      <c r="V163" s="205" t="e">
        <f t="shared" si="47"/>
        <v>#REF!</v>
      </c>
      <c r="W163" s="212"/>
    </row>
    <row r="164" spans="1:23" ht="22.5" customHeight="1">
      <c r="A164" s="202">
        <v>29</v>
      </c>
      <c r="B164" s="203" t="s">
        <v>130</v>
      </c>
      <c r="C164" s="208" t="s">
        <v>116</v>
      </c>
      <c r="D164" s="209">
        <f>D163/(D23+1E-99)*1000</f>
        <v>0</v>
      </c>
      <c r="E164" s="209">
        <f>E163/(E23+1E-99)*1000</f>
        <v>0</v>
      </c>
      <c r="F164" s="209">
        <f>F163/(F23+1E-99)*1000</f>
        <v>0</v>
      </c>
      <c r="G164" s="209">
        <f>G163/(G23+1E-99)*1000</f>
        <v>0</v>
      </c>
      <c r="H164" s="209">
        <v>1006.4214541185299</v>
      </c>
      <c r="I164" s="209" t="s">
        <v>65</v>
      </c>
      <c r="J164" s="209">
        <f>J163/(J23+1E-99)*1000</f>
        <v>2102.40155187638</v>
      </c>
      <c r="K164" s="209">
        <f t="shared" si="29"/>
        <v>108.89872163126327</v>
      </c>
      <c r="L164" s="209">
        <f>L163/(M23+1E-99)*1000</f>
        <v>0</v>
      </c>
      <c r="M164" s="277">
        <f t="shared" si="48"/>
        <v>-100</v>
      </c>
      <c r="N164" s="209">
        <f t="shared" si="49"/>
        <v>-2102.40155187638</v>
      </c>
      <c r="O164" s="209"/>
      <c r="P164" s="5" t="e">
        <f>P163/(Q23+1E-99)*1000</f>
        <v>#REF!</v>
      </c>
      <c r="Q164" s="44" t="e">
        <f t="shared" si="43"/>
        <v>#REF!</v>
      </c>
      <c r="R164" s="5" t="e">
        <f>R163/(S23+1E-99)*1000</f>
        <v>#REF!</v>
      </c>
      <c r="S164" s="206" t="e">
        <f t="shared" si="44"/>
        <v>#REF!</v>
      </c>
      <c r="T164" s="206" t="e">
        <f t="shared" si="45"/>
        <v>#REF!</v>
      </c>
      <c r="U164" s="44" t="e">
        <f t="shared" si="46"/>
        <v>#REF!</v>
      </c>
      <c r="V164" s="41"/>
      <c r="W164" s="213"/>
    </row>
    <row r="165" spans="1:33" ht="12" customHeight="1">
      <c r="A165" s="12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 spans="1:33" ht="34.5" customHeight="1" hidden="1">
      <c r="A166" s="445"/>
      <c r="B166" s="445"/>
      <c r="C166" s="188"/>
      <c r="D166" s="189"/>
      <c r="E166" s="190"/>
      <c r="F166" s="191"/>
      <c r="G166" s="192"/>
      <c r="H166" s="192"/>
      <c r="I166" s="192"/>
      <c r="J166" s="193"/>
      <c r="K166" s="194"/>
      <c r="L166" s="195"/>
      <c r="M166" s="194"/>
      <c r="N166" s="194"/>
      <c r="O166" s="194"/>
      <c r="P166" s="374"/>
      <c r="Q166" s="374"/>
      <c r="R166" s="374"/>
      <c r="S166" s="375"/>
      <c r="T166" s="374"/>
      <c r="U166" s="374"/>
      <c r="V166" s="374"/>
      <c r="W166" s="187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 spans="1:33" s="313" customFormat="1" ht="24" customHeight="1">
      <c r="A167" s="446" t="s">
        <v>207</v>
      </c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</row>
    <row r="168" spans="1:33" s="377" customFormat="1" ht="15.75" customHeight="1">
      <c r="A168" s="447" t="s">
        <v>0</v>
      </c>
      <c r="B168" s="448" t="s">
        <v>131</v>
      </c>
      <c r="C168" s="515" t="s">
        <v>183</v>
      </c>
      <c r="D168" s="516"/>
      <c r="E168" s="516"/>
      <c r="F168" s="515" t="s">
        <v>185</v>
      </c>
      <c r="G168" s="516"/>
      <c r="H168" s="516"/>
      <c r="I168" s="516"/>
      <c r="J168" s="516"/>
      <c r="K168" s="516"/>
      <c r="L168" s="422" t="s">
        <v>191</v>
      </c>
      <c r="M168" s="422"/>
      <c r="N168" s="422"/>
      <c r="O168" s="422"/>
      <c r="P168" s="283"/>
      <c r="Q168" s="283"/>
      <c r="R168" s="283"/>
      <c r="S168" s="283"/>
      <c r="T168" s="283"/>
      <c r="U168" s="283"/>
      <c r="V168" s="283"/>
      <c r="W168" s="283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</row>
    <row r="169" spans="1:33" ht="22.5" customHeight="1">
      <c r="A169" s="447"/>
      <c r="B169" s="449"/>
      <c r="C169" s="447" t="s">
        <v>189</v>
      </c>
      <c r="D169" s="447"/>
      <c r="E169" s="416" t="s">
        <v>198</v>
      </c>
      <c r="F169" s="447" t="s">
        <v>181</v>
      </c>
      <c r="G169" s="447"/>
      <c r="H169" s="447"/>
      <c r="I169" s="447"/>
      <c r="J169" s="416" t="s">
        <v>190</v>
      </c>
      <c r="K169" s="416"/>
      <c r="L169" s="514" t="s">
        <v>173</v>
      </c>
      <c r="M169" s="514"/>
      <c r="N169" s="521" t="s">
        <v>8</v>
      </c>
      <c r="O169" s="521"/>
      <c r="P169" s="514" t="s">
        <v>132</v>
      </c>
      <c r="Q169" s="514"/>
      <c r="R169" s="514"/>
      <c r="S169" s="514"/>
      <c r="T169" s="514"/>
      <c r="U169" s="513" t="s">
        <v>133</v>
      </c>
      <c r="V169" s="513" t="s">
        <v>134</v>
      </c>
      <c r="W169" s="513" t="s">
        <v>175</v>
      </c>
      <c r="X169" s="378"/>
      <c r="Y169" s="63"/>
      <c r="Z169" s="63"/>
      <c r="AA169" s="64"/>
      <c r="AB169" s="49"/>
      <c r="AC169" s="49"/>
      <c r="AD169" s="49"/>
      <c r="AE169" s="49"/>
      <c r="AF169" s="49"/>
      <c r="AG169" s="49"/>
    </row>
    <row r="170" spans="1:33" ht="45" customHeight="1">
      <c r="A170" s="447"/>
      <c r="B170" s="450"/>
      <c r="C170" s="282" t="s">
        <v>187</v>
      </c>
      <c r="D170" s="282" t="s">
        <v>188</v>
      </c>
      <c r="E170" s="416"/>
      <c r="F170" s="282" t="s">
        <v>194</v>
      </c>
      <c r="G170" s="285" t="s">
        <v>195</v>
      </c>
      <c r="H170" s="282" t="s">
        <v>197</v>
      </c>
      <c r="I170" s="285" t="s">
        <v>196</v>
      </c>
      <c r="J170" s="284" t="s">
        <v>179</v>
      </c>
      <c r="K170" s="284" t="s">
        <v>180</v>
      </c>
      <c r="L170" s="285" t="s">
        <v>174</v>
      </c>
      <c r="M170" s="285" t="s">
        <v>8</v>
      </c>
      <c r="N170" s="286" t="s">
        <v>193</v>
      </c>
      <c r="O170" s="287" t="s">
        <v>7</v>
      </c>
      <c r="P170" s="288" t="s">
        <v>135</v>
      </c>
      <c r="Q170" s="287" t="s">
        <v>7</v>
      </c>
      <c r="R170" s="288" t="s">
        <v>136</v>
      </c>
      <c r="S170" s="287" t="s">
        <v>137</v>
      </c>
      <c r="T170" s="287" t="s">
        <v>12</v>
      </c>
      <c r="U170" s="513"/>
      <c r="V170" s="513"/>
      <c r="W170" s="513"/>
      <c r="X170" s="64"/>
      <c r="Y170" s="63"/>
      <c r="Z170" s="63"/>
      <c r="AA170" s="64"/>
      <c r="AB170" s="49"/>
      <c r="AC170" s="49"/>
      <c r="AD170" s="49"/>
      <c r="AE170" s="49"/>
      <c r="AF170" s="49"/>
      <c r="AG170" s="49"/>
    </row>
    <row r="171" spans="1:33" s="152" customFormat="1" ht="11.25" customHeight="1">
      <c r="A171" s="289">
        <v>1</v>
      </c>
      <c r="B171" s="290">
        <v>2</v>
      </c>
      <c r="C171" s="290">
        <v>3</v>
      </c>
      <c r="D171" s="290">
        <v>4</v>
      </c>
      <c r="E171" s="291">
        <v>5</v>
      </c>
      <c r="F171" s="290">
        <v>6</v>
      </c>
      <c r="G171" s="290">
        <v>7</v>
      </c>
      <c r="H171" s="290">
        <v>8</v>
      </c>
      <c r="I171" s="290">
        <v>9</v>
      </c>
      <c r="J171" s="291">
        <v>10</v>
      </c>
      <c r="K171" s="291">
        <v>11</v>
      </c>
      <c r="L171" s="290">
        <v>12</v>
      </c>
      <c r="M171" s="290">
        <v>13</v>
      </c>
      <c r="N171" s="291">
        <v>14</v>
      </c>
      <c r="O171" s="290">
        <v>15</v>
      </c>
      <c r="P171" s="290">
        <v>16</v>
      </c>
      <c r="Q171" s="290">
        <v>17</v>
      </c>
      <c r="R171" s="290">
        <v>18</v>
      </c>
      <c r="S171" s="290">
        <v>19</v>
      </c>
      <c r="T171" s="290">
        <v>20</v>
      </c>
      <c r="U171" s="290">
        <v>21</v>
      </c>
      <c r="V171" s="290">
        <v>22</v>
      </c>
      <c r="W171" s="290">
        <v>23</v>
      </c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</row>
    <row r="172" spans="1:24" s="33" customFormat="1" ht="12.75" customHeight="1">
      <c r="A172" s="65">
        <v>1</v>
      </c>
      <c r="B172" s="66" t="s">
        <v>138</v>
      </c>
      <c r="C172" s="237">
        <f>C173+C174+C175</f>
        <v>0</v>
      </c>
      <c r="D172" s="237">
        <f>D173+D174+D175</f>
        <v>0</v>
      </c>
      <c r="E172" s="142"/>
      <c r="F172" s="237">
        <f>F173+F174+F175</f>
        <v>0</v>
      </c>
      <c r="G172" s="237">
        <f>G173+G174+G175</f>
        <v>0</v>
      </c>
      <c r="H172" s="237">
        <f>H173+H174+H175</f>
        <v>0</v>
      </c>
      <c r="I172" s="237">
        <f>I173+I174+I175</f>
        <v>0</v>
      </c>
      <c r="J172" s="53"/>
      <c r="K172" s="142">
        <v>1216.71</v>
      </c>
      <c r="L172" s="75">
        <f>L173+L174+L175</f>
        <v>0</v>
      </c>
      <c r="M172" s="75">
        <f>M173+M174+M175</f>
        <v>0</v>
      </c>
      <c r="N172" s="53"/>
      <c r="O172" s="241">
        <f aca="true" t="shared" si="51" ref="O172:O183">N172/(K172+1E-101)*100-100</f>
        <v>-100</v>
      </c>
      <c r="P172" s="41"/>
      <c r="Q172" s="42">
        <f aca="true" t="shared" si="52" ref="Q172:Q180">P172/(J172+1E-101)*100-100</f>
        <v>-100</v>
      </c>
      <c r="R172" s="41"/>
      <c r="S172" s="42">
        <f>R172/(P172+1E-101)*100-100</f>
        <v>-100</v>
      </c>
      <c r="T172" s="42">
        <f aca="true" t="shared" si="53" ref="T172:T180">R172/(J172+1E-101)*100-100</f>
        <v>-100</v>
      </c>
      <c r="U172" s="6"/>
      <c r="V172" s="6">
        <f aca="true" t="shared" si="54" ref="V172:V180">U172/(J172+1E-101)*100-100</f>
        <v>-100</v>
      </c>
      <c r="W172" s="240">
        <f>N172*M172/1000</f>
        <v>0</v>
      </c>
      <c r="X172" s="50"/>
    </row>
    <row r="173" spans="1:23" ht="12.75">
      <c r="A173" s="68"/>
      <c r="B173" s="69" t="s">
        <v>139</v>
      </c>
      <c r="C173" s="70"/>
      <c r="D173" s="70"/>
      <c r="E173" s="143"/>
      <c r="F173" s="39"/>
      <c r="G173" s="39"/>
      <c r="H173" s="39"/>
      <c r="I173" s="70"/>
      <c r="J173" s="139"/>
      <c r="K173" s="143"/>
      <c r="L173" s="242"/>
      <c r="M173" s="292">
        <f>L206</f>
        <v>0</v>
      </c>
      <c r="N173" s="139"/>
      <c r="O173" s="241">
        <f t="shared" si="51"/>
        <v>-100</v>
      </c>
      <c r="P173" s="271"/>
      <c r="Q173" s="272">
        <f t="shared" si="52"/>
        <v>-100</v>
      </c>
      <c r="R173" s="271"/>
      <c r="S173" s="272">
        <f aca="true" t="shared" si="55" ref="S173:S182">R173/(P173+1E-101)*100-100</f>
        <v>-100</v>
      </c>
      <c r="T173" s="272">
        <f t="shared" si="53"/>
        <v>-100</v>
      </c>
      <c r="U173" s="14"/>
      <c r="V173" s="14">
        <f t="shared" si="54"/>
        <v>-100</v>
      </c>
      <c r="W173" s="278"/>
    </row>
    <row r="174" spans="1:23" ht="12.75">
      <c r="A174" s="68"/>
      <c r="B174" s="69" t="s">
        <v>140</v>
      </c>
      <c r="C174" s="70"/>
      <c r="D174" s="70"/>
      <c r="E174" s="143"/>
      <c r="F174" s="39"/>
      <c r="G174" s="39"/>
      <c r="H174" s="39"/>
      <c r="I174" s="70"/>
      <c r="J174" s="139"/>
      <c r="K174" s="143"/>
      <c r="L174" s="242"/>
      <c r="M174" s="292">
        <f>L207</f>
        <v>0</v>
      </c>
      <c r="N174" s="139"/>
      <c r="O174" s="241">
        <f t="shared" si="51"/>
        <v>-100</v>
      </c>
      <c r="P174" s="271"/>
      <c r="Q174" s="272">
        <f t="shared" si="52"/>
        <v>-100</v>
      </c>
      <c r="R174" s="271"/>
      <c r="S174" s="272">
        <f t="shared" si="55"/>
        <v>-100</v>
      </c>
      <c r="T174" s="272">
        <f t="shared" si="53"/>
        <v>-100</v>
      </c>
      <c r="U174" s="14"/>
      <c r="V174" s="14">
        <f t="shared" si="54"/>
        <v>-100</v>
      </c>
      <c r="W174" s="278"/>
    </row>
    <row r="175" spans="1:23" ht="12.75">
      <c r="A175" s="68"/>
      <c r="B175" s="71" t="s">
        <v>141</v>
      </c>
      <c r="C175" s="70"/>
      <c r="D175" s="70"/>
      <c r="E175" s="143"/>
      <c r="F175" s="39"/>
      <c r="G175" s="39"/>
      <c r="H175" s="39"/>
      <c r="I175" s="70"/>
      <c r="J175" s="139"/>
      <c r="K175" s="143"/>
      <c r="L175" s="242"/>
      <c r="M175" s="292">
        <f>L208</f>
        <v>0</v>
      </c>
      <c r="N175" s="139"/>
      <c r="O175" s="241">
        <f t="shared" si="51"/>
        <v>-100</v>
      </c>
      <c r="P175" s="271"/>
      <c r="Q175" s="272">
        <f t="shared" si="52"/>
        <v>-100</v>
      </c>
      <c r="R175" s="271"/>
      <c r="S175" s="272">
        <f t="shared" si="55"/>
        <v>-100</v>
      </c>
      <c r="T175" s="272">
        <f t="shared" si="53"/>
        <v>-100</v>
      </c>
      <c r="U175" s="14"/>
      <c r="V175" s="14">
        <f t="shared" si="54"/>
        <v>-100</v>
      </c>
      <c r="W175" s="278"/>
    </row>
    <row r="176" spans="1:24" s="33" customFormat="1" ht="12.75">
      <c r="A176" s="65">
        <v>2</v>
      </c>
      <c r="B176" s="244" t="s">
        <v>149</v>
      </c>
      <c r="C176" s="75">
        <f>C177+C180+C181</f>
        <v>0</v>
      </c>
      <c r="D176" s="75">
        <f>D177+D180+D181</f>
        <v>0</v>
      </c>
      <c r="E176" s="142"/>
      <c r="F176" s="75">
        <f>F177+F180+F181</f>
        <v>0</v>
      </c>
      <c r="G176" s="75">
        <f>G177+G180+G181</f>
        <v>0</v>
      </c>
      <c r="H176" s="75">
        <f>H177+H180+H181</f>
        <v>0</v>
      </c>
      <c r="I176" s="75">
        <f>I177+I180+I181</f>
        <v>0</v>
      </c>
      <c r="J176" s="53"/>
      <c r="K176" s="142"/>
      <c r="L176" s="75">
        <f>L177+L180+L181</f>
        <v>181.2</v>
      </c>
      <c r="M176" s="75">
        <f>M177+M180+M181</f>
        <v>181.19904000000002</v>
      </c>
      <c r="N176" s="53"/>
      <c r="O176" s="245">
        <f t="shared" si="51"/>
        <v>-100</v>
      </c>
      <c r="P176" s="41"/>
      <c r="Q176" s="42">
        <f t="shared" si="52"/>
        <v>-100</v>
      </c>
      <c r="R176" s="41"/>
      <c r="S176" s="42">
        <f t="shared" si="55"/>
        <v>-100</v>
      </c>
      <c r="T176" s="42">
        <f t="shared" si="53"/>
        <v>-100</v>
      </c>
      <c r="U176" s="6"/>
      <c r="V176" s="6">
        <f t="shared" si="54"/>
        <v>-100</v>
      </c>
      <c r="W176" s="42"/>
      <c r="X176" s="50"/>
    </row>
    <row r="177" spans="1:23" ht="12.75">
      <c r="A177" s="68" t="s">
        <v>142</v>
      </c>
      <c r="B177" s="246" t="s">
        <v>143</v>
      </c>
      <c r="C177" s="75">
        <f>C178+C179</f>
        <v>0</v>
      </c>
      <c r="D177" s="75">
        <f aca="true" t="shared" si="56" ref="D177:I177">D178+D179</f>
        <v>0</v>
      </c>
      <c r="E177" s="142"/>
      <c r="F177" s="75">
        <f>F178+F179</f>
        <v>0</v>
      </c>
      <c r="G177" s="75">
        <f t="shared" si="56"/>
        <v>0</v>
      </c>
      <c r="H177" s="75">
        <f>H178+H179</f>
        <v>0</v>
      </c>
      <c r="I177" s="75">
        <f t="shared" si="56"/>
        <v>0</v>
      </c>
      <c r="J177" s="139"/>
      <c r="K177" s="143">
        <v>949.1271186440679</v>
      </c>
      <c r="L177" s="126">
        <f>L178+L179</f>
        <v>181.2</v>
      </c>
      <c r="M177" s="126">
        <f>M178+M179</f>
        <v>181.19904000000002</v>
      </c>
      <c r="N177" s="139">
        <v>181.2</v>
      </c>
      <c r="O177" s="245">
        <f t="shared" si="51"/>
        <v>-80.90877434216988</v>
      </c>
      <c r="P177" s="41"/>
      <c r="Q177" s="48">
        <f t="shared" si="52"/>
        <v>-100</v>
      </c>
      <c r="R177" s="47"/>
      <c r="S177" s="48">
        <f t="shared" si="55"/>
        <v>-100</v>
      </c>
      <c r="T177" s="48">
        <f t="shared" si="53"/>
        <v>-100</v>
      </c>
      <c r="U177" s="14"/>
      <c r="V177" s="14">
        <f t="shared" si="54"/>
        <v>-100</v>
      </c>
      <c r="W177" s="240">
        <f>N177*M177/1000</f>
        <v>32.833266048000006</v>
      </c>
    </row>
    <row r="178" spans="1:23" ht="15.75" customHeight="1">
      <c r="A178" s="68"/>
      <c r="B178" s="246" t="s">
        <v>177</v>
      </c>
      <c r="C178" s="70"/>
      <c r="D178" s="70"/>
      <c r="E178" s="143"/>
      <c r="F178" s="39"/>
      <c r="G178" s="39"/>
      <c r="H178" s="39"/>
      <c r="I178" s="70"/>
      <c r="J178" s="139"/>
      <c r="K178" s="143"/>
      <c r="L178" s="314">
        <v>181.2</v>
      </c>
      <c r="M178" s="292">
        <f>L211</f>
        <v>181.19904000000002</v>
      </c>
      <c r="N178" s="139">
        <v>181.2</v>
      </c>
      <c r="O178" s="245">
        <f t="shared" si="51"/>
        <v>1.812E+105</v>
      </c>
      <c r="P178" s="47"/>
      <c r="Q178" s="48">
        <f t="shared" si="52"/>
        <v>-100</v>
      </c>
      <c r="R178" s="47"/>
      <c r="S178" s="48">
        <f t="shared" si="55"/>
        <v>-100</v>
      </c>
      <c r="T178" s="48">
        <f t="shared" si="53"/>
        <v>-100</v>
      </c>
      <c r="U178" s="14"/>
      <c r="V178" s="14">
        <f t="shared" si="54"/>
        <v>-100</v>
      </c>
      <c r="W178" s="42"/>
    </row>
    <row r="179" spans="1:23" ht="12.75">
      <c r="A179" s="68"/>
      <c r="B179" s="246" t="s">
        <v>145</v>
      </c>
      <c r="C179" s="70"/>
      <c r="D179" s="70"/>
      <c r="E179" s="143"/>
      <c r="F179" s="39"/>
      <c r="G179" s="39"/>
      <c r="H179" s="39"/>
      <c r="I179" s="70"/>
      <c r="J179" s="139"/>
      <c r="K179" s="143"/>
      <c r="L179" s="242"/>
      <c r="M179" s="292">
        <f>L212</f>
        <v>0</v>
      </c>
      <c r="N179" s="139"/>
      <c r="O179" s="245">
        <f t="shared" si="51"/>
        <v>-100</v>
      </c>
      <c r="P179" s="47"/>
      <c r="Q179" s="48">
        <f t="shared" si="52"/>
        <v>-100</v>
      </c>
      <c r="R179" s="47"/>
      <c r="S179" s="48">
        <f t="shared" si="55"/>
        <v>-100</v>
      </c>
      <c r="T179" s="48">
        <f t="shared" si="53"/>
        <v>-100</v>
      </c>
      <c r="U179" s="14"/>
      <c r="V179" s="14">
        <f t="shared" si="54"/>
        <v>-100</v>
      </c>
      <c r="W179" s="42"/>
    </row>
    <row r="180" spans="1:23" ht="15" customHeight="1">
      <c r="A180" s="72" t="s">
        <v>146</v>
      </c>
      <c r="B180" s="246" t="s">
        <v>176</v>
      </c>
      <c r="C180" s="70"/>
      <c r="D180" s="70"/>
      <c r="E180" s="143"/>
      <c r="F180" s="39"/>
      <c r="G180" s="39"/>
      <c r="H180" s="39"/>
      <c r="I180" s="70"/>
      <c r="J180" s="139"/>
      <c r="K180" s="143"/>
      <c r="L180" s="242"/>
      <c r="M180" s="292">
        <f>L213</f>
        <v>0</v>
      </c>
      <c r="N180" s="139"/>
      <c r="O180" s="245">
        <f t="shared" si="51"/>
        <v>-100</v>
      </c>
      <c r="P180" s="41"/>
      <c r="Q180" s="48">
        <f t="shared" si="52"/>
        <v>-100</v>
      </c>
      <c r="R180" s="47"/>
      <c r="S180" s="48">
        <f t="shared" si="55"/>
        <v>-100</v>
      </c>
      <c r="T180" s="48">
        <f t="shared" si="53"/>
        <v>-100</v>
      </c>
      <c r="U180" s="14"/>
      <c r="V180" s="14">
        <f t="shared" si="54"/>
        <v>-100</v>
      </c>
      <c r="W180" s="240">
        <f>N180*M180/1000</f>
        <v>0</v>
      </c>
    </row>
    <row r="181" spans="1:23" ht="15" customHeight="1">
      <c r="A181" s="73" t="s">
        <v>148</v>
      </c>
      <c r="B181" s="246" t="s">
        <v>149</v>
      </c>
      <c r="C181" s="70"/>
      <c r="D181" s="70"/>
      <c r="E181" s="143"/>
      <c r="F181" s="39"/>
      <c r="G181" s="39"/>
      <c r="H181" s="39"/>
      <c r="I181" s="70"/>
      <c r="J181" s="139"/>
      <c r="K181" s="143">
        <v>1216.71</v>
      </c>
      <c r="L181" s="243"/>
      <c r="M181" s="292">
        <f>L214</f>
        <v>0</v>
      </c>
      <c r="N181" s="139"/>
      <c r="O181" s="245">
        <f t="shared" si="51"/>
        <v>-100</v>
      </c>
      <c r="P181" s="41"/>
      <c r="Q181" s="48"/>
      <c r="R181" s="47"/>
      <c r="S181" s="48"/>
      <c r="T181" s="48"/>
      <c r="U181" s="14"/>
      <c r="V181" s="14"/>
      <c r="W181" s="240">
        <f>N181*M181/1000</f>
        <v>0</v>
      </c>
    </row>
    <row r="182" spans="1:24" s="33" customFormat="1" ht="15" customHeight="1">
      <c r="A182" s="74">
        <v>3</v>
      </c>
      <c r="B182" s="244" t="s">
        <v>150</v>
      </c>
      <c r="C182" s="70"/>
      <c r="D182" s="67"/>
      <c r="E182" s="142"/>
      <c r="F182" s="43"/>
      <c r="G182" s="43"/>
      <c r="H182" s="67"/>
      <c r="I182" s="67"/>
      <c r="J182" s="53"/>
      <c r="K182" s="142"/>
      <c r="L182" s="242"/>
      <c r="M182" s="292">
        <f>L215</f>
        <v>0</v>
      </c>
      <c r="N182" s="139"/>
      <c r="O182" s="245">
        <f t="shared" si="51"/>
        <v>-100</v>
      </c>
      <c r="P182" s="41"/>
      <c r="Q182" s="42">
        <f>P182/(J182+1E-101)*100-100</f>
        <v>-100</v>
      </c>
      <c r="R182" s="41"/>
      <c r="S182" s="42">
        <f t="shared" si="55"/>
        <v>-100</v>
      </c>
      <c r="T182" s="42">
        <f>R182/(J182+1E-101)*100-100</f>
        <v>-100</v>
      </c>
      <c r="U182" s="6"/>
      <c r="V182" s="6">
        <f>U182/(J182+1E-101)*100-100</f>
        <v>-100</v>
      </c>
      <c r="W182" s="240">
        <f>N182*M182/1000</f>
        <v>0</v>
      </c>
      <c r="X182" s="50"/>
    </row>
    <row r="183" spans="1:24" s="21" customFormat="1" ht="15.75" customHeight="1">
      <c r="A183" s="12"/>
      <c r="B183" s="247" t="s">
        <v>151</v>
      </c>
      <c r="C183" s="77">
        <f>C172+C176+C182</f>
        <v>0</v>
      </c>
      <c r="D183" s="77">
        <f>D172+D176+D182</f>
        <v>0</v>
      </c>
      <c r="E183" s="112">
        <f>D164</f>
        <v>0</v>
      </c>
      <c r="F183" s="77">
        <f>F172+F176+F182</f>
        <v>0</v>
      </c>
      <c r="G183" s="77">
        <f>G172+G176+G182</f>
        <v>0</v>
      </c>
      <c r="H183" s="77">
        <f>H172+H176+H182</f>
        <v>0</v>
      </c>
      <c r="I183" s="77">
        <f>I172+I176+I182</f>
        <v>0</v>
      </c>
      <c r="J183" s="112">
        <f>F164</f>
        <v>0</v>
      </c>
      <c r="K183" s="112">
        <v>1006.4214541185299</v>
      </c>
      <c r="L183" s="77">
        <f>L172+L176+L182</f>
        <v>181.2</v>
      </c>
      <c r="M183" s="77">
        <f>M172+M176+M182</f>
        <v>181.19904000000002</v>
      </c>
      <c r="N183" s="238">
        <v>181.2</v>
      </c>
      <c r="O183" s="248">
        <f t="shared" si="51"/>
        <v>-81.99561433647068</v>
      </c>
      <c r="P183" s="77">
        <f aca="true" t="shared" si="57" ref="P183:V183">P172+P176+P180+P182</f>
        <v>0</v>
      </c>
      <c r="Q183" s="77">
        <f t="shared" si="57"/>
        <v>-400</v>
      </c>
      <c r="R183" s="77">
        <f t="shared" si="57"/>
        <v>0</v>
      </c>
      <c r="S183" s="77">
        <f t="shared" si="57"/>
        <v>-400</v>
      </c>
      <c r="T183" s="77">
        <f t="shared" si="57"/>
        <v>-400</v>
      </c>
      <c r="U183" s="77">
        <f t="shared" si="57"/>
        <v>0</v>
      </c>
      <c r="V183" s="77">
        <f t="shared" si="57"/>
        <v>-400</v>
      </c>
      <c r="W183" s="239">
        <f>W172+W177+W180+W181+W182</f>
        <v>32.833266048000006</v>
      </c>
      <c r="X183" s="379"/>
    </row>
    <row r="184" spans="1:24" s="21" customFormat="1" ht="21" customHeight="1">
      <c r="A184" s="233"/>
      <c r="B184" s="461" t="s">
        <v>204</v>
      </c>
      <c r="C184" s="462"/>
      <c r="D184" s="463"/>
      <c r="E184" s="234">
        <f>(E172*C172+E177*C177+E180*C180+E181*C181+E182*C182)/1000</f>
        <v>0</v>
      </c>
      <c r="F184" s="164" t="s">
        <v>65</v>
      </c>
      <c r="G184" s="234"/>
      <c r="H184" s="164" t="s">
        <v>65</v>
      </c>
      <c r="I184" s="164" t="s">
        <v>65</v>
      </c>
      <c r="J184" s="112">
        <f>(J172*F172+J177*F177+J180*F180+J181*F181+J182*F182)/1000</f>
        <v>0</v>
      </c>
      <c r="K184" s="112">
        <f>(K172*I172+K177*I177+K180*I180+K181*I181+K182*I182)/1000</f>
        <v>0</v>
      </c>
      <c r="L184" s="164" t="s">
        <v>65</v>
      </c>
      <c r="M184" s="164" t="s">
        <v>65</v>
      </c>
      <c r="N184" s="112">
        <f>(N172*M172+N177*M177+N180*M180+N181*M181+N182*M182)/1000</f>
        <v>32.833266048000006</v>
      </c>
      <c r="O184" s="164" t="s">
        <v>65</v>
      </c>
      <c r="P184" s="164" t="s">
        <v>65</v>
      </c>
      <c r="Q184" s="164" t="s">
        <v>65</v>
      </c>
      <c r="R184" s="164" t="s">
        <v>65</v>
      </c>
      <c r="S184" s="164" t="s">
        <v>65</v>
      </c>
      <c r="T184" s="164" t="s">
        <v>65</v>
      </c>
      <c r="U184" s="164" t="s">
        <v>65</v>
      </c>
      <c r="V184" s="164" t="s">
        <v>65</v>
      </c>
      <c r="W184" s="164" t="s">
        <v>65</v>
      </c>
      <c r="X184" s="379"/>
    </row>
    <row r="185" spans="1:24" s="21" customFormat="1" ht="15.75" customHeight="1">
      <c r="A185" s="233"/>
      <c r="B185" s="461" t="s">
        <v>205</v>
      </c>
      <c r="C185" s="462"/>
      <c r="D185" s="463"/>
      <c r="E185" s="234">
        <f>(E172*D172+E177*D177+E180*D180+E181*D181+E182*D182)/1000</f>
        <v>0</v>
      </c>
      <c r="F185" s="164" t="s">
        <v>65</v>
      </c>
      <c r="G185" s="234">
        <f>(J172*G172+J177*G177+J180*G180+J181*G181+J182*G182)/1000</f>
        <v>0</v>
      </c>
      <c r="H185" s="164" t="s">
        <v>65</v>
      </c>
      <c r="I185" s="164" t="s">
        <v>65</v>
      </c>
      <c r="J185" s="164" t="s">
        <v>65</v>
      </c>
      <c r="K185" s="164" t="s">
        <v>65</v>
      </c>
      <c r="L185" s="164" t="s">
        <v>65</v>
      </c>
      <c r="M185" s="164" t="s">
        <v>65</v>
      </c>
      <c r="N185" s="144"/>
      <c r="O185" s="164" t="s">
        <v>65</v>
      </c>
      <c r="P185" s="164" t="s">
        <v>65</v>
      </c>
      <c r="Q185" s="164" t="s">
        <v>65</v>
      </c>
      <c r="R185" s="164" t="s">
        <v>65</v>
      </c>
      <c r="S185" s="164" t="s">
        <v>65</v>
      </c>
      <c r="T185" s="164" t="s">
        <v>65</v>
      </c>
      <c r="U185" s="164" t="s">
        <v>65</v>
      </c>
      <c r="V185" s="164" t="s">
        <v>65</v>
      </c>
      <c r="W185" s="164" t="s">
        <v>65</v>
      </c>
      <c r="X185" s="379"/>
    </row>
    <row r="186" spans="1:23" ht="27" customHeight="1">
      <c r="A186" s="159"/>
      <c r="B186" s="461" t="s">
        <v>200</v>
      </c>
      <c r="C186" s="462"/>
      <c r="D186" s="463"/>
      <c r="E186" s="216">
        <f>D163-E184</f>
        <v>0</v>
      </c>
      <c r="F186" s="164" t="s">
        <v>65</v>
      </c>
      <c r="G186" s="164" t="s">
        <v>65</v>
      </c>
      <c r="H186" s="164" t="s">
        <v>65</v>
      </c>
      <c r="I186" s="164" t="s">
        <v>65</v>
      </c>
      <c r="J186" s="216">
        <f>F163-J184</f>
        <v>0</v>
      </c>
      <c r="K186" s="216">
        <f>H163-K184</f>
        <v>157082.00049696714</v>
      </c>
      <c r="L186" s="164" t="s">
        <v>65</v>
      </c>
      <c r="M186" s="164" t="s">
        <v>65</v>
      </c>
      <c r="N186" s="234">
        <f>L163-N184</f>
        <v>-32.833266048000006</v>
      </c>
      <c r="O186" s="164" t="s">
        <v>65</v>
      </c>
      <c r="P186" s="164" t="s">
        <v>65</v>
      </c>
      <c r="Q186" s="164" t="s">
        <v>65</v>
      </c>
      <c r="R186" s="164" t="s">
        <v>65</v>
      </c>
      <c r="S186" s="164" t="s">
        <v>65</v>
      </c>
      <c r="T186" s="164" t="s">
        <v>65</v>
      </c>
      <c r="U186" s="164" t="s">
        <v>65</v>
      </c>
      <c r="V186" s="164" t="s">
        <v>65</v>
      </c>
      <c r="W186" s="164" t="s">
        <v>65</v>
      </c>
    </row>
    <row r="187" spans="1:23" ht="16.5" customHeight="1">
      <c r="A187" s="160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0"/>
      <c r="Q187" s="160"/>
      <c r="R187" s="160"/>
      <c r="S187" s="160"/>
      <c r="T187" s="160"/>
      <c r="U187" s="160"/>
      <c r="V187" s="160"/>
      <c r="W187" s="162"/>
    </row>
    <row r="188" spans="1:23" ht="30" customHeight="1">
      <c r="A188" s="469" t="s">
        <v>152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79"/>
      <c r="L188" s="80"/>
      <c r="M188" s="81"/>
      <c r="N188" s="470" t="s">
        <v>153</v>
      </c>
      <c r="O188" s="470"/>
      <c r="P188" s="470"/>
      <c r="Q188" s="470"/>
      <c r="R188" s="470"/>
      <c r="S188" s="470"/>
      <c r="T188" s="470"/>
      <c r="U188" s="470"/>
      <c r="V188" s="470"/>
      <c r="W188" s="470"/>
    </row>
    <row r="189" spans="1:23" s="49" customFormat="1" ht="5.25" customHeight="1" hidden="1">
      <c r="A189" s="121"/>
      <c r="B189" s="122"/>
      <c r="C189" s="133"/>
      <c r="D189" s="82"/>
      <c r="E189" s="90"/>
      <c r="F189" s="123"/>
      <c r="G189" s="123"/>
      <c r="H189" s="80"/>
      <c r="I189" s="80"/>
      <c r="J189" s="80"/>
      <c r="K189" s="80"/>
      <c r="L189" s="80"/>
      <c r="M189" s="81"/>
      <c r="N189" s="89"/>
      <c r="O189" s="89"/>
      <c r="P189" s="124"/>
      <c r="Q189" s="124"/>
      <c r="R189" s="124"/>
      <c r="S189" s="125"/>
      <c r="T189" s="124"/>
      <c r="U189" s="124"/>
      <c r="V189" s="124"/>
      <c r="W189" s="89"/>
    </row>
    <row r="190" spans="1:23" ht="6.75" customHeight="1" hidden="1">
      <c r="A190" s="85"/>
      <c r="B190" s="85"/>
      <c r="C190" s="133"/>
      <c r="D190" s="82"/>
      <c r="E190" s="90"/>
      <c r="F190" s="80"/>
      <c r="G190" s="80"/>
      <c r="H190" s="86"/>
      <c r="I190" s="86"/>
      <c r="J190" s="87"/>
      <c r="K190" s="87"/>
      <c r="L190" s="80"/>
      <c r="M190" s="81"/>
      <c r="N190" s="88"/>
      <c r="O190" s="88"/>
      <c r="P190" s="83"/>
      <c r="Q190" s="83"/>
      <c r="R190" s="83"/>
      <c r="S190" s="84"/>
      <c r="T190" s="83"/>
      <c r="U190" s="83"/>
      <c r="V190" s="83"/>
      <c r="W190" s="88"/>
    </row>
    <row r="191" spans="1:23" ht="30.75" customHeight="1">
      <c r="A191" s="469" t="s">
        <v>154</v>
      </c>
      <c r="B191" s="469"/>
      <c r="C191" s="469"/>
      <c r="D191" s="469"/>
      <c r="E191" s="469"/>
      <c r="F191" s="80"/>
      <c r="G191" s="80"/>
      <c r="H191" s="471"/>
      <c r="I191" s="471"/>
      <c r="J191" s="471"/>
      <c r="K191" s="80"/>
      <c r="L191" s="80"/>
      <c r="M191" s="81"/>
      <c r="N191" s="472" t="s">
        <v>155</v>
      </c>
      <c r="O191" s="472"/>
      <c r="P191" s="472"/>
      <c r="Q191" s="472"/>
      <c r="R191" s="472"/>
      <c r="S191" s="472"/>
      <c r="T191" s="472"/>
      <c r="U191" s="472"/>
      <c r="V191" s="472"/>
      <c r="W191" s="472"/>
    </row>
    <row r="192" spans="1:23" ht="6" customHeight="1" hidden="1">
      <c r="A192" s="78"/>
      <c r="B192" s="82"/>
      <c r="C192" s="133"/>
      <c r="D192" s="82"/>
      <c r="E192" s="90"/>
      <c r="F192" s="80"/>
      <c r="G192" s="80"/>
      <c r="H192" s="80"/>
      <c r="I192" s="80"/>
      <c r="J192" s="80"/>
      <c r="K192" s="80"/>
      <c r="L192" s="80"/>
      <c r="M192" s="81"/>
      <c r="N192" s="89"/>
      <c r="O192" s="89"/>
      <c r="P192" s="83"/>
      <c r="Q192" s="83"/>
      <c r="R192" s="83"/>
      <c r="S192" s="84"/>
      <c r="T192" s="83"/>
      <c r="U192" s="83"/>
      <c r="V192" s="83"/>
      <c r="W192" s="89"/>
    </row>
    <row r="193" spans="1:23" ht="15" customHeight="1" hidden="1">
      <c r="A193" s="78"/>
      <c r="B193" s="82"/>
      <c r="C193" s="133"/>
      <c r="D193" s="90"/>
      <c r="E193" s="90"/>
      <c r="F193" s="80"/>
      <c r="G193" s="80"/>
      <c r="H193" s="80"/>
      <c r="I193" s="80"/>
      <c r="J193" s="80"/>
      <c r="K193" s="81"/>
      <c r="L193" s="91"/>
      <c r="M193" s="91"/>
      <c r="N193" s="89"/>
      <c r="O193" s="92"/>
      <c r="P193" s="83"/>
      <c r="Q193" s="83"/>
      <c r="R193" s="83"/>
      <c r="S193" s="84"/>
      <c r="T193" s="83"/>
      <c r="U193" s="83"/>
      <c r="V193" s="83"/>
      <c r="W193" s="92"/>
    </row>
    <row r="194" spans="1:23" ht="15.75" customHeight="1" hidden="1">
      <c r="A194" s="78"/>
      <c r="B194" s="82"/>
      <c r="C194" s="133"/>
      <c r="D194" s="90"/>
      <c r="E194" s="90"/>
      <c r="F194" s="80"/>
      <c r="G194" s="80"/>
      <c r="H194" s="80"/>
      <c r="I194" s="80"/>
      <c r="J194" s="80"/>
      <c r="K194" s="81"/>
      <c r="L194" s="91"/>
      <c r="M194" s="91"/>
      <c r="N194" s="89"/>
      <c r="O194" s="92"/>
      <c r="P194" s="83"/>
      <c r="Q194" s="83"/>
      <c r="R194" s="83"/>
      <c r="S194" s="84"/>
      <c r="T194" s="83"/>
      <c r="U194" s="83"/>
      <c r="V194" s="83"/>
      <c r="W194" s="92"/>
    </row>
    <row r="195" spans="1:23" ht="35.25" customHeight="1">
      <c r="A195" s="469" t="s">
        <v>156</v>
      </c>
      <c r="B195" s="469"/>
      <c r="C195" s="469"/>
      <c r="D195" s="469"/>
      <c r="E195" s="469"/>
      <c r="F195" s="473"/>
      <c r="G195" s="473"/>
      <c r="H195" s="87"/>
      <c r="I195" s="87"/>
      <c r="J195" s="80"/>
      <c r="K195" s="93"/>
      <c r="L195" s="93"/>
      <c r="M195" s="93"/>
      <c r="N195" s="474" t="s">
        <v>203</v>
      </c>
      <c r="O195" s="474"/>
      <c r="P195" s="474"/>
      <c r="Q195" s="474"/>
      <c r="R195" s="474"/>
      <c r="S195" s="474"/>
      <c r="T195" s="474"/>
      <c r="U195" s="474"/>
      <c r="V195" s="474"/>
      <c r="W195" s="474"/>
    </row>
    <row r="196" spans="1:24" s="215" customFormat="1" ht="20.25" customHeight="1">
      <c r="A196" s="475" t="s">
        <v>211</v>
      </c>
      <c r="B196" s="476"/>
      <c r="C196" s="476"/>
      <c r="D196" s="476"/>
      <c r="E196" s="476"/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  <c r="X196" s="380"/>
    </row>
    <row r="197" spans="1:23" ht="205.5" customHeight="1" hidden="1">
      <c r="A197" s="97"/>
      <c r="B197" s="98"/>
      <c r="C197" s="135"/>
      <c r="D197" s="94"/>
      <c r="E197" s="99"/>
      <c r="F197" s="99"/>
      <c r="G197" s="99"/>
      <c r="H197" s="99"/>
      <c r="I197" s="99"/>
      <c r="J197" s="95"/>
      <c r="K197"/>
      <c r="L197"/>
      <c r="M197"/>
      <c r="N197"/>
      <c r="O197"/>
      <c r="W197"/>
    </row>
    <row r="198" spans="1:23" ht="12.75" hidden="1">
      <c r="A198" s="100"/>
      <c r="B198" s="100"/>
      <c r="C198" s="134"/>
      <c r="D198" s="101"/>
      <c r="E198" s="101"/>
      <c r="F198" s="101"/>
      <c r="G198" s="101"/>
      <c r="H198" s="101"/>
      <c r="I198" s="101"/>
      <c r="J198" s="101"/>
      <c r="K198" s="102"/>
      <c r="L198"/>
      <c r="M198"/>
      <c r="N198"/>
      <c r="O198"/>
      <c r="W198"/>
    </row>
    <row r="199" spans="1:23" ht="12.75" hidden="1">
      <c r="A199" s="102"/>
      <c r="B199" s="100"/>
      <c r="C199" s="134"/>
      <c r="D199" s="100"/>
      <c r="E199" s="101"/>
      <c r="F199" s="101"/>
      <c r="G199" s="101"/>
      <c r="H199" s="101"/>
      <c r="I199" s="101"/>
      <c r="J199" s="101"/>
      <c r="K199" s="101"/>
      <c r="L199" s="101"/>
      <c r="M199" s="102"/>
      <c r="N199"/>
      <c r="O199"/>
      <c r="W199"/>
    </row>
    <row r="200" spans="1:23" ht="12.75" hidden="1">
      <c r="A200" s="102"/>
      <c r="B200" s="100"/>
      <c r="C200" s="134"/>
      <c r="D200" s="100"/>
      <c r="E200" s="101"/>
      <c r="F200" s="101"/>
      <c r="G200" s="101"/>
      <c r="H200" s="101"/>
      <c r="I200" s="101"/>
      <c r="J200" s="101"/>
      <c r="K200" s="101"/>
      <c r="L200" s="101"/>
      <c r="M200" s="102"/>
      <c r="N200"/>
      <c r="O200"/>
      <c r="W200"/>
    </row>
    <row r="201" spans="1:24" ht="1.5" customHeight="1" hidden="1">
      <c r="A201" s="477" t="s">
        <v>172</v>
      </c>
      <c r="B201" s="477"/>
      <c r="C201" s="477"/>
      <c r="D201" s="477"/>
      <c r="E201" s="477"/>
      <c r="F201" s="477"/>
      <c r="G201" s="477"/>
      <c r="H201" s="477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100"/>
      <c r="X201" s="381"/>
    </row>
    <row r="202" spans="1:24" ht="12.75" hidden="1">
      <c r="A202" s="102"/>
      <c r="B202" s="100"/>
      <c r="C202" s="134"/>
      <c r="D202" s="100"/>
      <c r="E202" s="101"/>
      <c r="F202" s="101"/>
      <c r="G202" s="101"/>
      <c r="H202" s="101"/>
      <c r="I202" s="101"/>
      <c r="J202" s="101"/>
      <c r="K202" s="101"/>
      <c r="L202" s="101"/>
      <c r="M202" s="100"/>
      <c r="N202" s="100"/>
      <c r="O202" s="100"/>
      <c r="W202" s="100"/>
      <c r="X202" s="381"/>
    </row>
    <row r="203" spans="1:33" ht="164.25" customHeight="1">
      <c r="A203" s="293" t="s">
        <v>0</v>
      </c>
      <c r="B203" s="294" t="s">
        <v>131</v>
      </c>
      <c r="C203" s="295" t="s">
        <v>157</v>
      </c>
      <c r="D203" s="296" t="s">
        <v>158</v>
      </c>
      <c r="E203" s="297" t="s">
        <v>159</v>
      </c>
      <c r="F203" s="296" t="s">
        <v>160</v>
      </c>
      <c r="G203" s="298" t="s">
        <v>161</v>
      </c>
      <c r="H203" s="298" t="s">
        <v>162</v>
      </c>
      <c r="I203" s="298" t="s">
        <v>163</v>
      </c>
      <c r="J203" s="299" t="s">
        <v>164</v>
      </c>
      <c r="K203" s="296" t="s">
        <v>165</v>
      </c>
      <c r="L203" s="478" t="s">
        <v>202</v>
      </c>
      <c r="M203" s="478"/>
      <c r="N203" s="478" t="s">
        <v>201</v>
      </c>
      <c r="O203" s="478"/>
      <c r="P203" s="478"/>
      <c r="Q203" s="478"/>
      <c r="R203" s="478"/>
      <c r="S203" s="478"/>
      <c r="T203" s="478"/>
      <c r="U203" s="478"/>
      <c r="V203" s="478"/>
      <c r="W203" s="478"/>
      <c r="X203" s="103"/>
      <c r="Y203" s="103"/>
      <c r="Z203" s="103"/>
      <c r="AA203" s="103"/>
      <c r="AB203" s="103"/>
      <c r="AC203" s="103"/>
      <c r="AD203" s="103"/>
      <c r="AE203" s="479"/>
      <c r="AF203" s="479"/>
      <c r="AG203" s="104"/>
    </row>
    <row r="204" spans="1:33" s="383" customFormat="1" ht="10.5">
      <c r="A204" s="300">
        <v>1</v>
      </c>
      <c r="B204" s="301">
        <v>2</v>
      </c>
      <c r="C204" s="289">
        <v>3</v>
      </c>
      <c r="D204" s="301">
        <v>4</v>
      </c>
      <c r="E204" s="302">
        <v>5</v>
      </c>
      <c r="F204" s="301">
        <v>6</v>
      </c>
      <c r="G204" s="289">
        <v>7</v>
      </c>
      <c r="H204" s="301">
        <v>8</v>
      </c>
      <c r="I204" s="289">
        <v>9</v>
      </c>
      <c r="J204" s="303">
        <v>10</v>
      </c>
      <c r="K204" s="289">
        <v>11</v>
      </c>
      <c r="L204" s="480">
        <v>12</v>
      </c>
      <c r="M204" s="480"/>
      <c r="N204" s="481">
        <v>13</v>
      </c>
      <c r="O204" s="482"/>
      <c r="P204" s="482"/>
      <c r="Q204" s="482"/>
      <c r="R204" s="482"/>
      <c r="S204" s="482"/>
      <c r="T204" s="482"/>
      <c r="U204" s="482"/>
      <c r="V204" s="482"/>
      <c r="W204" s="483"/>
      <c r="X204" s="140"/>
      <c r="Y204" s="140"/>
      <c r="Z204" s="140"/>
      <c r="AA204" s="140"/>
      <c r="AB204" s="140"/>
      <c r="AC204" s="140"/>
      <c r="AD204" s="140"/>
      <c r="AE204" s="484"/>
      <c r="AF204" s="484"/>
      <c r="AG204" s="382"/>
    </row>
    <row r="205" spans="1:33" ht="25.5">
      <c r="A205" s="2">
        <v>1</v>
      </c>
      <c r="B205" s="66" t="s">
        <v>138</v>
      </c>
      <c r="C205" s="136" t="s">
        <v>53</v>
      </c>
      <c r="D205" s="136" t="s">
        <v>53</v>
      </c>
      <c r="E205" s="136" t="s">
        <v>53</v>
      </c>
      <c r="F205" s="136" t="s">
        <v>53</v>
      </c>
      <c r="G205" s="136" t="s">
        <v>53</v>
      </c>
      <c r="H205" s="136" t="s">
        <v>53</v>
      </c>
      <c r="I205" s="136" t="s">
        <v>53</v>
      </c>
      <c r="J205" s="280" t="s">
        <v>53</v>
      </c>
      <c r="K205" s="126" t="s">
        <v>53</v>
      </c>
      <c r="L205" s="485">
        <f>L206+L207+L208</f>
        <v>0</v>
      </c>
      <c r="M205" s="485"/>
      <c r="N205" s="486">
        <f>N206+N207+N208</f>
        <v>0</v>
      </c>
      <c r="O205" s="487"/>
      <c r="P205" s="487"/>
      <c r="Q205" s="487"/>
      <c r="R205" s="487"/>
      <c r="S205" s="487"/>
      <c r="T205" s="487"/>
      <c r="U205" s="487"/>
      <c r="V205" s="487"/>
      <c r="W205" s="488"/>
      <c r="X205" s="105"/>
      <c r="Y205" s="105"/>
      <c r="Z205" s="105"/>
      <c r="AA205" s="105"/>
      <c r="AB205" s="105"/>
      <c r="AC205" s="105"/>
      <c r="AD205" s="105"/>
      <c r="AE205" s="489"/>
      <c r="AF205" s="489"/>
      <c r="AG205" s="104"/>
    </row>
    <row r="206" spans="1:33" ht="12.75">
      <c r="A206" s="128"/>
      <c r="B206" s="129" t="s">
        <v>139</v>
      </c>
      <c r="C206" s="137" t="s">
        <v>53</v>
      </c>
      <c r="D206" s="137" t="s">
        <v>53</v>
      </c>
      <c r="E206" s="137" t="s">
        <v>53</v>
      </c>
      <c r="F206" s="137" t="s">
        <v>53</v>
      </c>
      <c r="G206" s="137" t="s">
        <v>53</v>
      </c>
      <c r="H206" s="137" t="s">
        <v>53</v>
      </c>
      <c r="I206" s="137" t="s">
        <v>53</v>
      </c>
      <c r="J206" s="281" t="s">
        <v>53</v>
      </c>
      <c r="K206" s="126" t="s">
        <v>53</v>
      </c>
      <c r="L206" s="490"/>
      <c r="M206" s="490"/>
      <c r="N206" s="491"/>
      <c r="O206" s="492"/>
      <c r="P206" s="492"/>
      <c r="Q206" s="492"/>
      <c r="R206" s="492"/>
      <c r="S206" s="492"/>
      <c r="T206" s="492"/>
      <c r="U206" s="492"/>
      <c r="V206" s="492"/>
      <c r="W206" s="493"/>
      <c r="X206" s="105"/>
      <c r="Y206" s="105"/>
      <c r="Z206" s="105"/>
      <c r="AA206" s="105"/>
      <c r="AB206" s="105"/>
      <c r="AC206" s="105"/>
      <c r="AD206" s="105"/>
      <c r="AE206" s="494"/>
      <c r="AF206" s="494"/>
      <c r="AG206" s="104"/>
    </row>
    <row r="207" spans="1:33" ht="12.75">
      <c r="A207" s="68"/>
      <c r="B207" s="69" t="s">
        <v>140</v>
      </c>
      <c r="C207" s="126" t="s">
        <v>53</v>
      </c>
      <c r="D207" s="126" t="s">
        <v>53</v>
      </c>
      <c r="E207" s="126" t="s">
        <v>53</v>
      </c>
      <c r="F207" s="126" t="s">
        <v>53</v>
      </c>
      <c r="G207" s="126" t="s">
        <v>53</v>
      </c>
      <c r="H207" s="126" t="s">
        <v>53</v>
      </c>
      <c r="I207" s="126" t="s">
        <v>53</v>
      </c>
      <c r="J207" s="279" t="s">
        <v>53</v>
      </c>
      <c r="K207" s="126" t="s">
        <v>53</v>
      </c>
      <c r="L207" s="490"/>
      <c r="M207" s="490"/>
      <c r="N207" s="491"/>
      <c r="O207" s="492"/>
      <c r="P207" s="492"/>
      <c r="Q207" s="492"/>
      <c r="R207" s="492"/>
      <c r="S207" s="492"/>
      <c r="T207" s="492"/>
      <c r="U207" s="492"/>
      <c r="V207" s="492"/>
      <c r="W207" s="493"/>
      <c r="X207" s="105"/>
      <c r="Y207" s="105"/>
      <c r="Z207" s="105"/>
      <c r="AA207" s="105"/>
      <c r="AB207" s="105"/>
      <c r="AC207" s="105"/>
      <c r="AD207" s="105"/>
      <c r="AE207" s="494"/>
      <c r="AF207" s="494"/>
      <c r="AG207" s="104"/>
    </row>
    <row r="208" spans="1:33" ht="12.75">
      <c r="A208" s="68"/>
      <c r="B208" s="71" t="s">
        <v>141</v>
      </c>
      <c r="C208" s="126" t="s">
        <v>53</v>
      </c>
      <c r="D208" s="126" t="s">
        <v>53</v>
      </c>
      <c r="E208" s="126" t="s">
        <v>53</v>
      </c>
      <c r="F208" s="126" t="s">
        <v>53</v>
      </c>
      <c r="G208" s="126" t="s">
        <v>53</v>
      </c>
      <c r="H208" s="126" t="s">
        <v>53</v>
      </c>
      <c r="I208" s="126" t="s">
        <v>53</v>
      </c>
      <c r="J208" s="279" t="s">
        <v>53</v>
      </c>
      <c r="K208" s="126" t="s">
        <v>53</v>
      </c>
      <c r="L208" s="495"/>
      <c r="M208" s="495"/>
      <c r="N208" s="491"/>
      <c r="O208" s="492"/>
      <c r="P208" s="492"/>
      <c r="Q208" s="492"/>
      <c r="R208" s="492"/>
      <c r="S208" s="492"/>
      <c r="T208" s="492"/>
      <c r="U208" s="492"/>
      <c r="V208" s="492"/>
      <c r="W208" s="493"/>
      <c r="X208" s="105"/>
      <c r="Y208" s="105"/>
      <c r="Z208" s="105"/>
      <c r="AA208" s="105"/>
      <c r="AB208" s="105"/>
      <c r="AC208" s="105"/>
      <c r="AD208" s="105"/>
      <c r="AE208" s="494"/>
      <c r="AF208" s="494"/>
      <c r="AG208" s="104"/>
    </row>
    <row r="209" spans="1:33" ht="14.25" customHeight="1">
      <c r="A209" s="65">
        <v>2</v>
      </c>
      <c r="B209" s="66" t="s">
        <v>149</v>
      </c>
      <c r="C209" s="39"/>
      <c r="D209" s="126"/>
      <c r="E209" s="126"/>
      <c r="F209" s="126"/>
      <c r="G209" s="126"/>
      <c r="H209" s="126"/>
      <c r="I209" s="126"/>
      <c r="J209" s="126"/>
      <c r="K209" s="126"/>
      <c r="L209" s="496">
        <f>L211+L212+L213+L214</f>
        <v>181.19904000000002</v>
      </c>
      <c r="M209" s="496"/>
      <c r="N209" s="486">
        <f>N210+N214</f>
        <v>0</v>
      </c>
      <c r="O209" s="487"/>
      <c r="P209" s="487"/>
      <c r="Q209" s="487"/>
      <c r="R209" s="487"/>
      <c r="S209" s="487"/>
      <c r="T209" s="487"/>
      <c r="U209" s="487"/>
      <c r="V209" s="487"/>
      <c r="W209" s="488"/>
      <c r="X209" s="105"/>
      <c r="Y209" s="105"/>
      <c r="Z209" s="105"/>
      <c r="AA209" s="105"/>
      <c r="AB209" s="105"/>
      <c r="AC209" s="105"/>
      <c r="AD209" s="105"/>
      <c r="AE209" s="106"/>
      <c r="AF209" s="106"/>
      <c r="AG209" s="104"/>
    </row>
    <row r="210" spans="1:33" ht="14.25" customHeight="1">
      <c r="A210" s="68" t="s">
        <v>142</v>
      </c>
      <c r="B210" s="71" t="s">
        <v>143</v>
      </c>
      <c r="C210" s="113">
        <f>C211+C212</f>
        <v>181.19904000000002</v>
      </c>
      <c r="D210" s="304">
        <f aca="true" t="shared" si="58" ref="D210:K210">D211+D212</f>
        <v>0.264</v>
      </c>
      <c r="E210" s="126">
        <f t="shared" si="58"/>
        <v>686.36</v>
      </c>
      <c r="F210" s="113">
        <f t="shared" si="58"/>
        <v>0</v>
      </c>
      <c r="G210" s="113">
        <f t="shared" si="58"/>
        <v>0</v>
      </c>
      <c r="H210" s="304">
        <f t="shared" si="58"/>
        <v>0</v>
      </c>
      <c r="I210" s="304">
        <f t="shared" si="58"/>
        <v>0</v>
      </c>
      <c r="J210" s="304">
        <f t="shared" si="58"/>
        <v>0</v>
      </c>
      <c r="K210" s="113">
        <f t="shared" si="58"/>
        <v>0</v>
      </c>
      <c r="L210" s="497">
        <f>C210+F210+G210+K210</f>
        <v>181.19904000000002</v>
      </c>
      <c r="M210" s="497"/>
      <c r="N210" s="498">
        <v>0</v>
      </c>
      <c r="O210" s="499"/>
      <c r="P210" s="499"/>
      <c r="Q210" s="499"/>
      <c r="R210" s="499"/>
      <c r="S210" s="499"/>
      <c r="T210" s="499"/>
      <c r="U210" s="499"/>
      <c r="V210" s="499"/>
      <c r="W210" s="500"/>
      <c r="X210" s="105"/>
      <c r="Y210" s="105"/>
      <c r="Z210" s="105"/>
      <c r="AA210" s="105"/>
      <c r="AB210" s="105"/>
      <c r="AC210" s="105"/>
      <c r="AD210" s="105"/>
      <c r="AE210" s="106"/>
      <c r="AF210" s="106"/>
      <c r="AG210" s="104"/>
    </row>
    <row r="211" spans="1:33" ht="21.75" customHeight="1">
      <c r="A211" s="68"/>
      <c r="B211" s="71" t="s">
        <v>144</v>
      </c>
      <c r="C211" s="145">
        <f>D211*E211</f>
        <v>181.19904000000002</v>
      </c>
      <c r="D211" s="39">
        <v>0.264</v>
      </c>
      <c r="E211" s="108">
        <v>686.36</v>
      </c>
      <c r="F211" s="146">
        <v>0</v>
      </c>
      <c r="G211" s="147">
        <f>H211*I211*J211</f>
        <v>0</v>
      </c>
      <c r="H211" s="107">
        <v>0</v>
      </c>
      <c r="I211" s="107">
        <v>0</v>
      </c>
      <c r="J211" s="108">
        <v>0</v>
      </c>
      <c r="K211" s="146">
        <v>0</v>
      </c>
      <c r="L211" s="497">
        <f>C211+F211+G211+K211</f>
        <v>181.19904000000002</v>
      </c>
      <c r="M211" s="497"/>
      <c r="N211" s="501">
        <v>0</v>
      </c>
      <c r="O211" s="502"/>
      <c r="P211" s="502"/>
      <c r="Q211" s="502"/>
      <c r="R211" s="502"/>
      <c r="S211" s="502"/>
      <c r="T211" s="502"/>
      <c r="U211" s="502"/>
      <c r="V211" s="502"/>
      <c r="W211" s="503"/>
      <c r="X211" s="109"/>
      <c r="Y211" s="110"/>
      <c r="Z211" s="111"/>
      <c r="AA211" s="109"/>
      <c r="AB211" s="109"/>
      <c r="AC211" s="109"/>
      <c r="AD211" s="110"/>
      <c r="AE211" s="489"/>
      <c r="AF211" s="489"/>
      <c r="AG211" s="104"/>
    </row>
    <row r="212" spans="1:33" ht="12.75">
      <c r="A212" s="68"/>
      <c r="B212" s="71" t="s">
        <v>145</v>
      </c>
      <c r="C212" s="145">
        <f>D212*E212</f>
        <v>0</v>
      </c>
      <c r="D212" s="143"/>
      <c r="E212" s="139">
        <v>0</v>
      </c>
      <c r="F212" s="146">
        <v>0</v>
      </c>
      <c r="G212" s="147">
        <f>H212*I212*J212</f>
        <v>0</v>
      </c>
      <c r="H212" s="139">
        <v>0</v>
      </c>
      <c r="I212" s="139">
        <v>0</v>
      </c>
      <c r="J212" s="139">
        <v>0</v>
      </c>
      <c r="K212" s="146">
        <v>0</v>
      </c>
      <c r="L212" s="497">
        <f>C212+F212+G212+K212</f>
        <v>0</v>
      </c>
      <c r="M212" s="497"/>
      <c r="N212" s="501"/>
      <c r="O212" s="502"/>
      <c r="P212" s="502"/>
      <c r="Q212" s="502"/>
      <c r="R212" s="502"/>
      <c r="S212" s="502"/>
      <c r="T212" s="502"/>
      <c r="U212" s="502"/>
      <c r="V212" s="502"/>
      <c r="W212" s="503"/>
      <c r="X212" s="109"/>
      <c r="Y212" s="110"/>
      <c r="Z212" s="111"/>
      <c r="AA212" s="109"/>
      <c r="AB212" s="109"/>
      <c r="AC212" s="109"/>
      <c r="AD212" s="110"/>
      <c r="AE212" s="489"/>
      <c r="AF212" s="489"/>
      <c r="AG212" s="104"/>
    </row>
    <row r="213" spans="1:33" ht="25.5">
      <c r="A213" s="72" t="s">
        <v>146</v>
      </c>
      <c r="B213" s="71" t="s">
        <v>147</v>
      </c>
      <c r="C213" s="126" t="s">
        <v>53</v>
      </c>
      <c r="D213" s="126" t="s">
        <v>53</v>
      </c>
      <c r="E213" s="126" t="s">
        <v>53</v>
      </c>
      <c r="F213" s="126" t="s">
        <v>53</v>
      </c>
      <c r="G213" s="126" t="s">
        <v>53</v>
      </c>
      <c r="H213" s="126" t="s">
        <v>53</v>
      </c>
      <c r="I213" s="126" t="s">
        <v>53</v>
      </c>
      <c r="J213" s="126" t="s">
        <v>53</v>
      </c>
      <c r="K213" s="126" t="s">
        <v>53</v>
      </c>
      <c r="L213" s="490"/>
      <c r="M213" s="490"/>
      <c r="N213" s="491"/>
      <c r="O213" s="492"/>
      <c r="P213" s="492"/>
      <c r="Q213" s="492"/>
      <c r="R213" s="492"/>
      <c r="S213" s="492"/>
      <c r="T213" s="492"/>
      <c r="U213" s="492"/>
      <c r="V213" s="492"/>
      <c r="W213" s="493"/>
      <c r="X213" s="105"/>
      <c r="Y213" s="105"/>
      <c r="Z213" s="105"/>
      <c r="AA213" s="105"/>
      <c r="AB213" s="105"/>
      <c r="AC213" s="105"/>
      <c r="AD213" s="105"/>
      <c r="AE213" s="494"/>
      <c r="AF213" s="494"/>
      <c r="AG213" s="104"/>
    </row>
    <row r="214" spans="1:33" ht="12.75">
      <c r="A214" s="73" t="s">
        <v>148</v>
      </c>
      <c r="B214" s="71" t="s">
        <v>149</v>
      </c>
      <c r="C214" s="126" t="s">
        <v>53</v>
      </c>
      <c r="D214" s="126" t="s">
        <v>53</v>
      </c>
      <c r="E214" s="126" t="s">
        <v>53</v>
      </c>
      <c r="F214" s="126" t="s">
        <v>53</v>
      </c>
      <c r="G214" s="126" t="s">
        <v>53</v>
      </c>
      <c r="H214" s="126" t="s">
        <v>53</v>
      </c>
      <c r="I214" s="126" t="s">
        <v>53</v>
      </c>
      <c r="J214" s="126" t="s">
        <v>53</v>
      </c>
      <c r="K214" s="126" t="s">
        <v>53</v>
      </c>
      <c r="L214" s="490"/>
      <c r="M214" s="490"/>
      <c r="N214" s="491"/>
      <c r="O214" s="492"/>
      <c r="P214" s="492"/>
      <c r="Q214" s="492"/>
      <c r="R214" s="492"/>
      <c r="S214" s="492"/>
      <c r="T214" s="492"/>
      <c r="U214" s="492"/>
      <c r="V214" s="492"/>
      <c r="W214" s="493"/>
      <c r="X214" s="105"/>
      <c r="Y214" s="105"/>
      <c r="Z214" s="105"/>
      <c r="AA214" s="105"/>
      <c r="AB214" s="105"/>
      <c r="AC214" s="105"/>
      <c r="AD214" s="105"/>
      <c r="AE214" s="512"/>
      <c r="AF214" s="512"/>
      <c r="AG214" s="104"/>
    </row>
    <row r="215" spans="1:33" ht="25.5">
      <c r="A215" s="74">
        <v>3</v>
      </c>
      <c r="B215" s="66" t="s">
        <v>150</v>
      </c>
      <c r="C215" s="126" t="s">
        <v>53</v>
      </c>
      <c r="D215" s="126" t="s">
        <v>53</v>
      </c>
      <c r="E215" s="126" t="s">
        <v>53</v>
      </c>
      <c r="F215" s="126" t="s">
        <v>53</v>
      </c>
      <c r="G215" s="126" t="s">
        <v>53</v>
      </c>
      <c r="H215" s="126" t="s">
        <v>53</v>
      </c>
      <c r="I215" s="126" t="s">
        <v>53</v>
      </c>
      <c r="J215" s="126" t="s">
        <v>53</v>
      </c>
      <c r="K215" s="126" t="s">
        <v>53</v>
      </c>
      <c r="L215" s="490"/>
      <c r="M215" s="490"/>
      <c r="N215" s="491"/>
      <c r="O215" s="492"/>
      <c r="P215" s="492"/>
      <c r="Q215" s="492"/>
      <c r="R215" s="492"/>
      <c r="S215" s="492"/>
      <c r="T215" s="492"/>
      <c r="U215" s="492"/>
      <c r="V215" s="492"/>
      <c r="W215" s="493"/>
      <c r="X215" s="105"/>
      <c r="Y215" s="105"/>
      <c r="Z215" s="105"/>
      <c r="AA215" s="105"/>
      <c r="AB215" s="105"/>
      <c r="AC215" s="105"/>
      <c r="AD215" s="105"/>
      <c r="AE215" s="512"/>
      <c r="AF215" s="512"/>
      <c r="AG215" s="104"/>
    </row>
    <row r="216" spans="1:33" ht="12.75">
      <c r="A216" s="12"/>
      <c r="B216" s="76" t="s">
        <v>151</v>
      </c>
      <c r="C216" s="113" t="s">
        <v>53</v>
      </c>
      <c r="D216" s="113" t="s">
        <v>53</v>
      </c>
      <c r="E216" s="113" t="s">
        <v>53</v>
      </c>
      <c r="F216" s="113" t="s">
        <v>53</v>
      </c>
      <c r="G216" s="113" t="s">
        <v>53</v>
      </c>
      <c r="H216" s="113" t="s">
        <v>53</v>
      </c>
      <c r="I216" s="112"/>
      <c r="J216" s="113" t="s">
        <v>53</v>
      </c>
      <c r="K216" s="127"/>
      <c r="L216" s="504">
        <f>L205+L209+L215</f>
        <v>181.19904000000002</v>
      </c>
      <c r="M216" s="504"/>
      <c r="N216" s="505">
        <f>N205+N209</f>
        <v>0</v>
      </c>
      <c r="O216" s="506"/>
      <c r="P216" s="506"/>
      <c r="Q216" s="506"/>
      <c r="R216" s="506"/>
      <c r="S216" s="506"/>
      <c r="T216" s="506"/>
      <c r="U216" s="506"/>
      <c r="V216" s="506"/>
      <c r="W216" s="507"/>
      <c r="X216" s="114"/>
      <c r="Y216" s="115"/>
      <c r="Z216" s="115"/>
      <c r="AA216" s="114"/>
      <c r="AB216" s="114"/>
      <c r="AC216" s="114"/>
      <c r="AD216" s="115"/>
      <c r="AE216" s="489"/>
      <c r="AF216" s="489"/>
      <c r="AG216" s="104"/>
    </row>
    <row r="217" spans="1:33" ht="12.75">
      <c r="A217" s="62"/>
      <c r="B217" s="100"/>
      <c r="C217" s="134"/>
      <c r="D217" s="100"/>
      <c r="E217" s="101"/>
      <c r="F217" s="101"/>
      <c r="G217" s="101"/>
      <c r="H217" s="101"/>
      <c r="I217" s="101"/>
      <c r="J217" s="101"/>
      <c r="K217" s="101"/>
      <c r="L217" s="101"/>
      <c r="M217" s="100"/>
      <c r="N217" s="100"/>
      <c r="O217" s="100"/>
      <c r="W217" s="116"/>
      <c r="X217" s="384"/>
      <c r="Y217" s="104"/>
      <c r="Z217" s="104"/>
      <c r="AA217" s="104"/>
      <c r="AB217" s="104"/>
      <c r="AC217" s="104"/>
      <c r="AD217" s="104"/>
      <c r="AE217" s="104"/>
      <c r="AF217" s="104"/>
      <c r="AG217" s="104"/>
    </row>
    <row r="218" spans="1:24" ht="18.75">
      <c r="A218" s="102"/>
      <c r="B218" s="117" t="s">
        <v>166</v>
      </c>
      <c r="C218" s="134"/>
      <c r="D218" s="100"/>
      <c r="E218" s="101"/>
      <c r="F218" s="101"/>
      <c r="G218" s="101"/>
      <c r="H218" s="101"/>
      <c r="I218" s="101"/>
      <c r="J218" s="101"/>
      <c r="K218" s="101"/>
      <c r="L218" s="101"/>
      <c r="M218" s="100"/>
      <c r="N218" s="100"/>
      <c r="O218" s="100"/>
      <c r="W218" s="100"/>
      <c r="X218" s="381"/>
    </row>
    <row r="219" spans="1:24" ht="12.75" hidden="1">
      <c r="A219" s="102"/>
      <c r="B219" s="100"/>
      <c r="C219" s="134"/>
      <c r="D219" s="100"/>
      <c r="E219" s="101"/>
      <c r="F219" s="101"/>
      <c r="G219" s="101"/>
      <c r="H219" s="101"/>
      <c r="I219" s="101"/>
      <c r="J219" s="101"/>
      <c r="K219" s="101"/>
      <c r="L219" s="101"/>
      <c r="M219" s="100"/>
      <c r="N219" s="100"/>
      <c r="O219" s="100"/>
      <c r="W219" s="100"/>
      <c r="X219" s="381"/>
    </row>
    <row r="220" spans="1:24" ht="12.75" hidden="1">
      <c r="A220" s="102"/>
      <c r="B220" s="100"/>
      <c r="C220" s="134"/>
      <c r="D220" s="100"/>
      <c r="E220" s="101"/>
      <c r="F220" s="101"/>
      <c r="G220" s="101"/>
      <c r="H220" s="101"/>
      <c r="I220" s="101"/>
      <c r="J220" s="101"/>
      <c r="K220" s="101"/>
      <c r="L220" s="101"/>
      <c r="M220" s="100"/>
      <c r="N220" s="100"/>
      <c r="O220" s="100"/>
      <c r="W220" s="100"/>
      <c r="X220" s="381"/>
    </row>
    <row r="221" spans="1:24" ht="12.75" hidden="1">
      <c r="A221" s="102"/>
      <c r="B221" s="100"/>
      <c r="C221" s="134"/>
      <c r="D221" s="100"/>
      <c r="E221" s="101"/>
      <c r="F221" s="101"/>
      <c r="G221" s="101"/>
      <c r="H221" s="101"/>
      <c r="I221" s="101"/>
      <c r="J221" s="101"/>
      <c r="K221" s="101"/>
      <c r="L221" s="101"/>
      <c r="M221" s="100"/>
      <c r="N221" s="100"/>
      <c r="O221" s="100"/>
      <c r="W221" s="100"/>
      <c r="X221" s="381"/>
    </row>
    <row r="222" spans="1:24" ht="12.75" hidden="1">
      <c r="A222" s="102"/>
      <c r="B222" s="100"/>
      <c r="C222" s="134"/>
      <c r="D222" s="100"/>
      <c r="E222" s="101"/>
      <c r="F222" s="101"/>
      <c r="G222" s="101"/>
      <c r="H222" s="101"/>
      <c r="I222" s="101"/>
      <c r="J222" s="101"/>
      <c r="K222" s="101"/>
      <c r="L222" s="101"/>
      <c r="M222" s="100"/>
      <c r="N222" s="100"/>
      <c r="O222" s="100"/>
      <c r="W222" s="100"/>
      <c r="X222" s="381"/>
    </row>
    <row r="223" spans="1:24" ht="12.75" hidden="1">
      <c r="A223" s="102"/>
      <c r="B223" s="100"/>
      <c r="C223" s="134"/>
      <c r="D223" s="100"/>
      <c r="E223" s="101"/>
      <c r="F223" s="101"/>
      <c r="G223" s="101"/>
      <c r="H223" s="101"/>
      <c r="I223" s="101"/>
      <c r="J223" s="101"/>
      <c r="K223" s="101"/>
      <c r="L223" s="101"/>
      <c r="M223" s="100"/>
      <c r="N223" s="100"/>
      <c r="O223" s="100"/>
      <c r="W223" s="100"/>
      <c r="X223" s="381"/>
    </row>
    <row r="224" spans="1:24" ht="12.75" hidden="1">
      <c r="A224" s="102"/>
      <c r="B224" s="100"/>
      <c r="C224" s="134"/>
      <c r="D224" s="100"/>
      <c r="E224" s="101"/>
      <c r="F224" s="101"/>
      <c r="G224" s="101"/>
      <c r="H224" s="101"/>
      <c r="I224" s="101"/>
      <c r="J224" s="101"/>
      <c r="K224" s="101"/>
      <c r="L224" s="101"/>
      <c r="M224" s="100"/>
      <c r="N224" s="100"/>
      <c r="O224" s="100"/>
      <c r="W224" s="100"/>
      <c r="X224" s="381"/>
    </row>
    <row r="225" spans="1:24" ht="12.75" hidden="1">
      <c r="A225" s="102"/>
      <c r="B225" s="100"/>
      <c r="C225" s="134"/>
      <c r="D225" s="100"/>
      <c r="E225" s="101"/>
      <c r="F225" s="101"/>
      <c r="G225" s="101"/>
      <c r="H225" s="101"/>
      <c r="I225" s="101"/>
      <c r="J225" s="101"/>
      <c r="K225" s="101"/>
      <c r="L225" s="101"/>
      <c r="M225" s="100"/>
      <c r="N225" s="100"/>
      <c r="O225" s="100"/>
      <c r="W225" s="100"/>
      <c r="X225" s="381"/>
    </row>
    <row r="226" spans="1:24" ht="12.75" hidden="1">
      <c r="A226" s="102"/>
      <c r="B226" s="100"/>
      <c r="C226" s="134"/>
      <c r="D226" s="100"/>
      <c r="E226" s="101"/>
      <c r="F226" s="101"/>
      <c r="G226" s="101"/>
      <c r="H226" s="101"/>
      <c r="I226" s="101"/>
      <c r="J226" s="101"/>
      <c r="K226" s="101"/>
      <c r="L226" s="101"/>
      <c r="M226" s="100"/>
      <c r="N226" s="100"/>
      <c r="O226" s="100"/>
      <c r="W226" s="100"/>
      <c r="X226" s="381"/>
    </row>
    <row r="227" spans="1:24" ht="18.75" hidden="1">
      <c r="A227" s="102"/>
      <c r="B227" s="117"/>
      <c r="C227" s="134"/>
      <c r="D227" s="100"/>
      <c r="E227" s="101"/>
      <c r="F227" s="101"/>
      <c r="G227" s="101"/>
      <c r="H227" s="101"/>
      <c r="I227" s="101"/>
      <c r="J227" s="101"/>
      <c r="K227" s="101"/>
      <c r="L227" s="101"/>
      <c r="M227" s="100"/>
      <c r="N227" s="100"/>
      <c r="O227" s="100"/>
      <c r="W227" s="100"/>
      <c r="X227" s="381"/>
    </row>
    <row r="228" spans="1:24" ht="18.75" hidden="1">
      <c r="A228" s="102"/>
      <c r="B228" s="117"/>
      <c r="C228" s="134"/>
      <c r="D228" s="100"/>
      <c r="E228" s="101"/>
      <c r="F228" s="101"/>
      <c r="G228" s="101"/>
      <c r="H228" s="101"/>
      <c r="I228" s="101"/>
      <c r="J228" s="101"/>
      <c r="K228" s="101"/>
      <c r="L228" s="101"/>
      <c r="M228" s="100"/>
      <c r="N228" s="100"/>
      <c r="O228" s="100"/>
      <c r="W228" s="100"/>
      <c r="X228" s="381"/>
    </row>
    <row r="229" spans="1:24" ht="18.75" hidden="1">
      <c r="A229" s="102"/>
      <c r="B229" s="117"/>
      <c r="C229" s="134"/>
      <c r="D229" s="100"/>
      <c r="E229" s="101"/>
      <c r="F229" s="101"/>
      <c r="G229" s="101"/>
      <c r="H229" s="101"/>
      <c r="I229" s="101"/>
      <c r="J229" s="101"/>
      <c r="K229" s="101"/>
      <c r="L229" s="101"/>
      <c r="M229" s="100"/>
      <c r="N229" s="100"/>
      <c r="O229" s="100"/>
      <c r="W229" s="100"/>
      <c r="X229" s="381"/>
    </row>
    <row r="230" spans="1:24" ht="18.75" hidden="1">
      <c r="A230" s="102"/>
      <c r="B230" s="117"/>
      <c r="C230" s="134"/>
      <c r="D230" s="100"/>
      <c r="E230" s="101"/>
      <c r="F230" s="101"/>
      <c r="G230" s="101"/>
      <c r="H230" s="101"/>
      <c r="I230" s="101"/>
      <c r="J230" s="101"/>
      <c r="K230" s="101"/>
      <c r="L230" s="101"/>
      <c r="M230" s="100"/>
      <c r="N230" s="100"/>
      <c r="O230" s="100"/>
      <c r="W230" s="100"/>
      <c r="X230" s="381"/>
    </row>
    <row r="231" spans="1:24" ht="18.75" hidden="1">
      <c r="A231" s="102"/>
      <c r="B231" s="117"/>
      <c r="C231" s="134"/>
      <c r="D231" s="100"/>
      <c r="E231" s="101"/>
      <c r="F231" s="101"/>
      <c r="G231" s="101"/>
      <c r="H231" s="101"/>
      <c r="I231" s="101"/>
      <c r="J231" s="101"/>
      <c r="K231" s="101"/>
      <c r="L231" s="101"/>
      <c r="M231" s="100"/>
      <c r="N231" s="100"/>
      <c r="O231" s="100"/>
      <c r="W231" s="100"/>
      <c r="X231" s="381"/>
    </row>
    <row r="232" ht="18.75" hidden="1">
      <c r="B232" s="118"/>
    </row>
    <row r="233" ht="18.75" hidden="1">
      <c r="B233" s="118"/>
    </row>
    <row r="234" ht="18.75" hidden="1">
      <c r="B234" s="118"/>
    </row>
    <row r="235" ht="18.75">
      <c r="B235" s="118" t="s">
        <v>167</v>
      </c>
    </row>
    <row r="236" ht="18.75">
      <c r="B236" s="118" t="s">
        <v>168</v>
      </c>
    </row>
  </sheetData>
  <sheetProtection/>
  <mergeCells count="105">
    <mergeCell ref="A1:W2"/>
    <mergeCell ref="A3:D3"/>
    <mergeCell ref="E3:W3"/>
    <mergeCell ref="A4:A6"/>
    <mergeCell ref="B4:B6"/>
    <mergeCell ref="C4:C6"/>
    <mergeCell ref="D4:E4"/>
    <mergeCell ref="F4:I4"/>
    <mergeCell ref="J4:V4"/>
    <mergeCell ref="W4:W6"/>
    <mergeCell ref="P5:V5"/>
    <mergeCell ref="X8:X10"/>
    <mergeCell ref="D5:D6"/>
    <mergeCell ref="E5:E6"/>
    <mergeCell ref="F5:F6"/>
    <mergeCell ref="G5:G6"/>
    <mergeCell ref="H5:H6"/>
    <mergeCell ref="I5:I6"/>
    <mergeCell ref="J5:K5"/>
    <mergeCell ref="L5:M5"/>
    <mergeCell ref="N5:N6"/>
    <mergeCell ref="O5:O6"/>
    <mergeCell ref="B155:C155"/>
    <mergeCell ref="B156:C156"/>
    <mergeCell ref="N169:O169"/>
    <mergeCell ref="X19:X22"/>
    <mergeCell ref="X33:X38"/>
    <mergeCell ref="X40:X44"/>
    <mergeCell ref="X46:X50"/>
    <mergeCell ref="X52:X56"/>
    <mergeCell ref="X58:X62"/>
    <mergeCell ref="X64:X68"/>
    <mergeCell ref="B152:C152"/>
    <mergeCell ref="B153:C153"/>
    <mergeCell ref="B154:C154"/>
    <mergeCell ref="B165:W165"/>
    <mergeCell ref="A166:B166"/>
    <mergeCell ref="A167:W167"/>
    <mergeCell ref="A168:A170"/>
    <mergeCell ref="B168:B170"/>
    <mergeCell ref="C168:E168"/>
    <mergeCell ref="F168:K168"/>
    <mergeCell ref="V169:V170"/>
    <mergeCell ref="L168:O168"/>
    <mergeCell ref="C169:D169"/>
    <mergeCell ref="A188:J188"/>
    <mergeCell ref="N188:W188"/>
    <mergeCell ref="F169:I169"/>
    <mergeCell ref="J169:K169"/>
    <mergeCell ref="L169:M169"/>
    <mergeCell ref="P169:T169"/>
    <mergeCell ref="U169:U170"/>
    <mergeCell ref="E169:E170"/>
    <mergeCell ref="W169:W170"/>
    <mergeCell ref="B184:D184"/>
    <mergeCell ref="B185:D185"/>
    <mergeCell ref="B186:D186"/>
    <mergeCell ref="A191:E191"/>
    <mergeCell ref="H191:J191"/>
    <mergeCell ref="N191:W191"/>
    <mergeCell ref="A195:E195"/>
    <mergeCell ref="F195:G195"/>
    <mergeCell ref="N195:W195"/>
    <mergeCell ref="AE203:AF203"/>
    <mergeCell ref="L204:M204"/>
    <mergeCell ref="N204:W204"/>
    <mergeCell ref="AE204:AF204"/>
    <mergeCell ref="A196:W196"/>
    <mergeCell ref="A201:V201"/>
    <mergeCell ref="L203:M203"/>
    <mergeCell ref="N203:W203"/>
    <mergeCell ref="L205:M205"/>
    <mergeCell ref="N205:W205"/>
    <mergeCell ref="AE205:AF205"/>
    <mergeCell ref="L206:M206"/>
    <mergeCell ref="N206:W206"/>
    <mergeCell ref="AE206:AF206"/>
    <mergeCell ref="L207:M207"/>
    <mergeCell ref="N207:W207"/>
    <mergeCell ref="AE207:AF207"/>
    <mergeCell ref="L208:M208"/>
    <mergeCell ref="N208:W208"/>
    <mergeCell ref="AE208:AF208"/>
    <mergeCell ref="L213:M213"/>
    <mergeCell ref="N213:W213"/>
    <mergeCell ref="AE213:AF213"/>
    <mergeCell ref="L209:M209"/>
    <mergeCell ref="N209:W209"/>
    <mergeCell ref="L210:M210"/>
    <mergeCell ref="N210:W210"/>
    <mergeCell ref="L211:M211"/>
    <mergeCell ref="N211:W211"/>
    <mergeCell ref="AE211:AF211"/>
    <mergeCell ref="L212:M212"/>
    <mergeCell ref="N212:W212"/>
    <mergeCell ref="AE212:AF212"/>
    <mergeCell ref="L216:M216"/>
    <mergeCell ref="N216:W216"/>
    <mergeCell ref="AE216:AF216"/>
    <mergeCell ref="L214:M214"/>
    <mergeCell ref="N214:W214"/>
    <mergeCell ref="AE214:AF214"/>
    <mergeCell ref="L215:M215"/>
    <mergeCell ref="N215:W215"/>
    <mergeCell ref="AE215:AF2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6"/>
  <sheetViews>
    <sheetView zoomScalePageLayoutView="0" workbookViewId="0" topLeftCell="A125">
      <selection activeCell="I186" sqref="I186"/>
    </sheetView>
  </sheetViews>
  <sheetFormatPr defaultColWidth="9.140625" defaultRowHeight="12.75"/>
  <cols>
    <col min="1" max="1" width="3.7109375" style="0" customWidth="1"/>
    <col min="2" max="2" width="21.7109375" style="119" customWidth="1"/>
    <col min="3" max="3" width="10.00390625" style="138" customWidth="1"/>
    <col min="4" max="4" width="8.421875" style="119" hidden="1" customWidth="1"/>
    <col min="5" max="5" width="9.00390625" style="120" hidden="1" customWidth="1"/>
    <col min="6" max="6" width="8.57421875" style="120" hidden="1" customWidth="1"/>
    <col min="7" max="7" width="9.00390625" style="120" hidden="1" customWidth="1"/>
    <col min="8" max="9" width="11.421875" style="120" customWidth="1"/>
    <col min="10" max="10" width="10.140625" style="120" customWidth="1"/>
    <col min="11" max="11" width="7.140625" style="120" customWidth="1"/>
    <col min="12" max="12" width="10.00390625" style="120" customWidth="1"/>
    <col min="13" max="13" width="6.8515625" style="120" customWidth="1"/>
    <col min="14" max="14" width="8.8515625" style="119" customWidth="1"/>
    <col min="15" max="15" width="7.28125" style="119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9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19" customWidth="1"/>
    <col min="25" max="25" width="11.421875" style="0" customWidth="1"/>
  </cols>
  <sheetData>
    <row r="1" spans="1:23" ht="10.5" customHeight="1">
      <c r="A1" s="431" t="s">
        <v>225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42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</row>
    <row r="3" spans="1:23" ht="17.25" customHeight="1">
      <c r="A3" s="432" t="s">
        <v>209</v>
      </c>
      <c r="B3" s="432"/>
      <c r="C3" s="432"/>
      <c r="D3" s="432"/>
      <c r="E3" s="433" t="s">
        <v>210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</row>
    <row r="4" spans="1:23" ht="17.25" customHeight="1">
      <c r="A4" s="434" t="s">
        <v>0</v>
      </c>
      <c r="B4" s="434" t="s">
        <v>1</v>
      </c>
      <c r="C4" s="435" t="s">
        <v>2</v>
      </c>
      <c r="D4" s="434" t="s">
        <v>183</v>
      </c>
      <c r="E4" s="434"/>
      <c r="F4" s="436" t="s">
        <v>185</v>
      </c>
      <c r="G4" s="436"/>
      <c r="H4" s="436"/>
      <c r="I4" s="436"/>
      <c r="J4" s="436" t="s">
        <v>182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7" t="s">
        <v>3</v>
      </c>
    </row>
    <row r="5" spans="1:23" ht="26.25" customHeight="1">
      <c r="A5" s="434"/>
      <c r="B5" s="434"/>
      <c r="C5" s="435"/>
      <c r="D5" s="434" t="s">
        <v>184</v>
      </c>
      <c r="E5" s="436" t="s">
        <v>169</v>
      </c>
      <c r="F5" s="436" t="s">
        <v>192</v>
      </c>
      <c r="G5" s="434" t="s">
        <v>186</v>
      </c>
      <c r="H5" s="436" t="s">
        <v>4</v>
      </c>
      <c r="I5" s="438" t="s">
        <v>8</v>
      </c>
      <c r="J5" s="436" t="s">
        <v>4</v>
      </c>
      <c r="K5" s="436"/>
      <c r="L5" s="436" t="s">
        <v>8</v>
      </c>
      <c r="M5" s="436"/>
      <c r="N5" s="436" t="s">
        <v>9</v>
      </c>
      <c r="O5" s="434" t="s">
        <v>10</v>
      </c>
      <c r="P5" s="436" t="s">
        <v>5</v>
      </c>
      <c r="Q5" s="436"/>
      <c r="R5" s="436"/>
      <c r="S5" s="436"/>
      <c r="T5" s="436"/>
      <c r="U5" s="436"/>
      <c r="V5" s="436"/>
      <c r="W5" s="437"/>
    </row>
    <row r="6" spans="1:23" ht="33" customHeight="1">
      <c r="A6" s="434"/>
      <c r="B6" s="434"/>
      <c r="C6" s="435"/>
      <c r="D6" s="434"/>
      <c r="E6" s="436"/>
      <c r="F6" s="436"/>
      <c r="G6" s="434"/>
      <c r="H6" s="436"/>
      <c r="I6" s="439"/>
      <c r="J6" s="1" t="s">
        <v>11</v>
      </c>
      <c r="K6" s="2" t="s">
        <v>7</v>
      </c>
      <c r="L6" s="1" t="s">
        <v>11</v>
      </c>
      <c r="M6" s="1" t="s">
        <v>7</v>
      </c>
      <c r="N6" s="436"/>
      <c r="O6" s="434"/>
      <c r="P6" s="1" t="s">
        <v>6</v>
      </c>
      <c r="Q6" s="2" t="s">
        <v>12</v>
      </c>
      <c r="R6" s="1" t="s">
        <v>6</v>
      </c>
      <c r="S6" s="2" t="s">
        <v>13</v>
      </c>
      <c r="T6" s="2" t="s">
        <v>12</v>
      </c>
      <c r="U6" s="1" t="s">
        <v>14</v>
      </c>
      <c r="V6" s="2" t="s">
        <v>10</v>
      </c>
      <c r="W6" s="437"/>
    </row>
    <row r="7" spans="1:23" s="152" customFormat="1" ht="11.25" customHeight="1">
      <c r="A7" s="148">
        <v>1</v>
      </c>
      <c r="B7" s="148">
        <v>2</v>
      </c>
      <c r="C7" s="148">
        <v>3</v>
      </c>
      <c r="D7" s="148">
        <v>4</v>
      </c>
      <c r="E7" s="153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  <c r="L7" s="148">
        <v>12</v>
      </c>
      <c r="M7" s="338">
        <v>13</v>
      </c>
      <c r="N7" s="148">
        <v>14</v>
      </c>
      <c r="O7" s="148">
        <v>15</v>
      </c>
      <c r="P7" s="148">
        <v>16</v>
      </c>
      <c r="Q7" s="148">
        <v>17</v>
      </c>
      <c r="R7" s="148">
        <v>18</v>
      </c>
      <c r="S7" s="148">
        <v>19</v>
      </c>
      <c r="T7" s="148">
        <v>20</v>
      </c>
      <c r="U7" s="148">
        <v>21</v>
      </c>
      <c r="V7" s="148">
        <v>22</v>
      </c>
      <c r="W7" s="148">
        <v>16</v>
      </c>
    </row>
    <row r="8" spans="1:26" ht="16.5" customHeight="1">
      <c r="A8" s="51">
        <v>1</v>
      </c>
      <c r="B8" s="52" t="s">
        <v>15</v>
      </c>
      <c r="C8" s="163" t="s">
        <v>16</v>
      </c>
      <c r="D8" s="216">
        <f>D9+D10+D11+D12+D13+D14+D15+D16</f>
        <v>0</v>
      </c>
      <c r="E8" s="216">
        <f aca="true" t="shared" si="0" ref="E8:J8">E9+E10+E11+E12+E13+E14+E15+E16</f>
        <v>0</v>
      </c>
      <c r="F8" s="216">
        <f t="shared" si="0"/>
        <v>0</v>
      </c>
      <c r="G8" s="216">
        <f t="shared" si="0"/>
        <v>0</v>
      </c>
      <c r="H8" s="216">
        <f>H9+H10+H11+H12+H13+H14+H15+H16</f>
        <v>186.6</v>
      </c>
      <c r="I8" s="216">
        <f t="shared" si="0"/>
        <v>183.9593983975266</v>
      </c>
      <c r="J8" s="216">
        <f t="shared" si="0"/>
        <v>186.6</v>
      </c>
      <c r="K8" s="336">
        <f aca="true" t="shared" si="1" ref="K8:K20">J8/H8*100-100</f>
        <v>0</v>
      </c>
      <c r="L8" s="337">
        <f>L9+L10+L11+L12+L13+L14+L15+L16</f>
        <v>183.9593983975266</v>
      </c>
      <c r="M8" s="336">
        <f>L8/I8*100-100</f>
        <v>0</v>
      </c>
      <c r="N8" s="216">
        <f aca="true" t="shared" si="2" ref="N8:N71">M8/(I8+1E-106)*100-100</f>
        <v>-100</v>
      </c>
      <c r="O8" s="216">
        <f aca="true" t="shared" si="3" ref="O8:O17">M8-K8</f>
        <v>0</v>
      </c>
      <c r="P8" s="216"/>
      <c r="Q8" s="5">
        <f>Q9+Q10+Q11+Q12+Q13+Q14+Q15+Q16</f>
        <v>0</v>
      </c>
      <c r="R8" s="7">
        <f aca="true" t="shared" si="4" ref="R8:R23">Q8/(F8+1E-106)*100-100</f>
        <v>-100</v>
      </c>
      <c r="S8" s="5">
        <f>S9+S10+S11+S12+S13+S14+S15+S16</f>
        <v>0</v>
      </c>
      <c r="T8" s="8">
        <f>S8/(Q8+1E-106)*100-100</f>
        <v>-100</v>
      </c>
      <c r="U8" s="8">
        <f aca="true" t="shared" si="5" ref="U8:U23">S8/(F8+1E-106)*100-100</f>
        <v>-100</v>
      </c>
      <c r="V8" s="9">
        <f aca="true" t="shared" si="6" ref="V8:V23">S8-K8</f>
        <v>0</v>
      </c>
      <c r="W8" s="440" t="s">
        <v>224</v>
      </c>
      <c r="X8" s="157"/>
      <c r="Y8" s="10"/>
      <c r="Z8" s="11"/>
    </row>
    <row r="9" spans="1:26" ht="12.75" customHeight="1">
      <c r="A9" s="12"/>
      <c r="B9" s="13" t="s">
        <v>17</v>
      </c>
      <c r="C9" s="40" t="s">
        <v>16</v>
      </c>
      <c r="D9" s="141"/>
      <c r="E9" s="229"/>
      <c r="F9" s="141"/>
      <c r="G9" s="217"/>
      <c r="H9" s="217">
        <f>H17+H20</f>
        <v>186.6</v>
      </c>
      <c r="I9" s="141">
        <f>I17+I20</f>
        <v>183.9593983975266</v>
      </c>
      <c r="J9" s="217">
        <v>186.6</v>
      </c>
      <c r="K9" s="214">
        <f t="shared" si="1"/>
        <v>0</v>
      </c>
      <c r="L9" s="141">
        <f>L17+L20</f>
        <v>183.9593983975266</v>
      </c>
      <c r="M9" s="214">
        <f aca="true" t="shared" si="7" ref="M9:M71">L9/I9*100-100</f>
        <v>0</v>
      </c>
      <c r="N9" s="223">
        <f t="shared" si="2"/>
        <v>-100</v>
      </c>
      <c r="O9" s="223">
        <f t="shared" si="3"/>
        <v>0</v>
      </c>
      <c r="P9" s="217"/>
      <c r="Q9" s="15">
        <f>F9</f>
        <v>0</v>
      </c>
      <c r="R9" s="16">
        <f t="shared" si="4"/>
        <v>-100</v>
      </c>
      <c r="S9" s="15">
        <f>Q9</f>
        <v>0</v>
      </c>
      <c r="T9" s="17">
        <f aca="true" t="shared" si="8" ref="T9:T72">S9/(Q9+1E-106)*100-100</f>
        <v>-100</v>
      </c>
      <c r="U9" s="17">
        <f t="shared" si="5"/>
        <v>-100</v>
      </c>
      <c r="V9" s="16">
        <f t="shared" si="6"/>
        <v>0</v>
      </c>
      <c r="W9" s="441"/>
      <c r="X9" s="157"/>
      <c r="Y9" s="10"/>
      <c r="Z9" s="11"/>
    </row>
    <row r="10" spans="1:26" ht="12.75" customHeight="1" hidden="1">
      <c r="A10" s="12"/>
      <c r="B10" s="13" t="s">
        <v>18</v>
      </c>
      <c r="C10" s="40" t="s">
        <v>16</v>
      </c>
      <c r="D10" s="141"/>
      <c r="E10" s="229"/>
      <c r="F10" s="141"/>
      <c r="G10" s="217"/>
      <c r="H10" s="217"/>
      <c r="I10" s="141"/>
      <c r="J10" s="217"/>
      <c r="K10" s="214" t="e">
        <f t="shared" si="1"/>
        <v>#DIV/0!</v>
      </c>
      <c r="L10" s="141"/>
      <c r="M10" s="214" t="e">
        <f t="shared" si="7"/>
        <v>#DIV/0!</v>
      </c>
      <c r="N10" s="223" t="e">
        <f t="shared" si="2"/>
        <v>#DIV/0!</v>
      </c>
      <c r="O10" s="223" t="e">
        <f t="shared" si="3"/>
        <v>#DIV/0!</v>
      </c>
      <c r="P10" s="217"/>
      <c r="Q10" s="18"/>
      <c r="R10" s="16">
        <f t="shared" si="4"/>
        <v>-100</v>
      </c>
      <c r="S10" s="18"/>
      <c r="T10" s="17">
        <f t="shared" si="8"/>
        <v>-100</v>
      </c>
      <c r="U10" s="17">
        <f t="shared" si="5"/>
        <v>-100</v>
      </c>
      <c r="V10" s="16" t="e">
        <f t="shared" si="6"/>
        <v>#DIV/0!</v>
      </c>
      <c r="W10" s="441"/>
      <c r="X10" s="157"/>
      <c r="Y10" s="10"/>
      <c r="Z10" s="11"/>
    </row>
    <row r="11" spans="1:26" ht="12.75" customHeight="1" hidden="1">
      <c r="A11" s="12"/>
      <c r="B11" s="13" t="s">
        <v>19</v>
      </c>
      <c r="C11" s="40" t="s">
        <v>16</v>
      </c>
      <c r="D11" s="141"/>
      <c r="E11" s="229"/>
      <c r="F11" s="141"/>
      <c r="G11" s="217"/>
      <c r="H11" s="217"/>
      <c r="I11" s="141"/>
      <c r="J11" s="217"/>
      <c r="K11" s="214" t="e">
        <f t="shared" si="1"/>
        <v>#DIV/0!</v>
      </c>
      <c r="L11" s="141"/>
      <c r="M11" s="214" t="e">
        <f t="shared" si="7"/>
        <v>#DIV/0!</v>
      </c>
      <c r="N11" s="223" t="e">
        <f t="shared" si="2"/>
        <v>#DIV/0!</v>
      </c>
      <c r="O11" s="223" t="e">
        <f t="shared" si="3"/>
        <v>#DIV/0!</v>
      </c>
      <c r="P11" s="217"/>
      <c r="Q11" s="18"/>
      <c r="R11" s="16">
        <f t="shared" si="4"/>
        <v>-100</v>
      </c>
      <c r="S11" s="18"/>
      <c r="T11" s="17">
        <f t="shared" si="8"/>
        <v>-100</v>
      </c>
      <c r="U11" s="17">
        <f t="shared" si="5"/>
        <v>-100</v>
      </c>
      <c r="V11" s="16" t="e">
        <f t="shared" si="6"/>
        <v>#DIV/0!</v>
      </c>
      <c r="W11" s="441"/>
      <c r="X11" s="157"/>
      <c r="Y11" s="10"/>
      <c r="Z11" s="11"/>
    </row>
    <row r="12" spans="1:26" ht="12.75" customHeight="1" hidden="1">
      <c r="A12" s="12"/>
      <c r="B12" s="13" t="s">
        <v>20</v>
      </c>
      <c r="C12" s="40" t="s">
        <v>16</v>
      </c>
      <c r="D12" s="141"/>
      <c r="E12" s="229"/>
      <c r="F12" s="141"/>
      <c r="G12" s="217"/>
      <c r="H12" s="217"/>
      <c r="I12" s="141"/>
      <c r="J12" s="217"/>
      <c r="K12" s="214" t="e">
        <f t="shared" si="1"/>
        <v>#DIV/0!</v>
      </c>
      <c r="L12" s="141"/>
      <c r="M12" s="214" t="e">
        <f t="shared" si="7"/>
        <v>#DIV/0!</v>
      </c>
      <c r="N12" s="223" t="e">
        <f t="shared" si="2"/>
        <v>#DIV/0!</v>
      </c>
      <c r="O12" s="223" t="e">
        <f t="shared" si="3"/>
        <v>#DIV/0!</v>
      </c>
      <c r="P12" s="217"/>
      <c r="Q12" s="18"/>
      <c r="R12" s="16">
        <f t="shared" si="4"/>
        <v>-100</v>
      </c>
      <c r="S12" s="18"/>
      <c r="T12" s="17">
        <f t="shared" si="8"/>
        <v>-100</v>
      </c>
      <c r="U12" s="17">
        <f t="shared" si="5"/>
        <v>-100</v>
      </c>
      <c r="V12" s="16" t="e">
        <f t="shared" si="6"/>
        <v>#DIV/0!</v>
      </c>
      <c r="W12" s="441"/>
      <c r="X12" s="157"/>
      <c r="Y12" s="10"/>
      <c r="Z12" s="11"/>
    </row>
    <row r="13" spans="1:26" ht="12.75" customHeight="1" hidden="1">
      <c r="A13" s="12"/>
      <c r="B13" s="13" t="s">
        <v>21</v>
      </c>
      <c r="C13" s="40" t="s">
        <v>16</v>
      </c>
      <c r="D13" s="141"/>
      <c r="E13" s="229"/>
      <c r="F13" s="141"/>
      <c r="G13" s="217"/>
      <c r="H13" s="217"/>
      <c r="I13" s="141"/>
      <c r="J13" s="217"/>
      <c r="K13" s="214" t="e">
        <f t="shared" si="1"/>
        <v>#DIV/0!</v>
      </c>
      <c r="L13" s="141"/>
      <c r="M13" s="214" t="e">
        <f t="shared" si="7"/>
        <v>#DIV/0!</v>
      </c>
      <c r="N13" s="223" t="e">
        <f t="shared" si="2"/>
        <v>#DIV/0!</v>
      </c>
      <c r="O13" s="223" t="e">
        <f t="shared" si="3"/>
        <v>#DIV/0!</v>
      </c>
      <c r="P13" s="217"/>
      <c r="Q13" s="18"/>
      <c r="R13" s="16">
        <f t="shared" si="4"/>
        <v>-100</v>
      </c>
      <c r="S13" s="18"/>
      <c r="T13" s="17">
        <f t="shared" si="8"/>
        <v>-100</v>
      </c>
      <c r="U13" s="17">
        <f t="shared" si="5"/>
        <v>-100</v>
      </c>
      <c r="V13" s="16" t="e">
        <f t="shared" si="6"/>
        <v>#DIV/0!</v>
      </c>
      <c r="W13" s="441"/>
      <c r="X13" s="157"/>
      <c r="Y13" s="10"/>
      <c r="Z13" s="11"/>
    </row>
    <row r="14" spans="1:26" ht="12.75" customHeight="1" hidden="1">
      <c r="A14" s="12"/>
      <c r="B14" s="13" t="s">
        <v>22</v>
      </c>
      <c r="C14" s="40" t="s">
        <v>16</v>
      </c>
      <c r="D14" s="141"/>
      <c r="E14" s="229"/>
      <c r="F14" s="141"/>
      <c r="G14" s="217"/>
      <c r="H14" s="217"/>
      <c r="I14" s="141"/>
      <c r="J14" s="217"/>
      <c r="K14" s="214" t="e">
        <f t="shared" si="1"/>
        <v>#DIV/0!</v>
      </c>
      <c r="L14" s="141"/>
      <c r="M14" s="214" t="e">
        <f t="shared" si="7"/>
        <v>#DIV/0!</v>
      </c>
      <c r="N14" s="223" t="e">
        <f t="shared" si="2"/>
        <v>#DIV/0!</v>
      </c>
      <c r="O14" s="223" t="e">
        <f t="shared" si="3"/>
        <v>#DIV/0!</v>
      </c>
      <c r="P14" s="217"/>
      <c r="Q14" s="18"/>
      <c r="R14" s="16">
        <f t="shared" si="4"/>
        <v>-100</v>
      </c>
      <c r="S14" s="18"/>
      <c r="T14" s="17">
        <f t="shared" si="8"/>
        <v>-100</v>
      </c>
      <c r="U14" s="17">
        <f t="shared" si="5"/>
        <v>-100</v>
      </c>
      <c r="V14" s="16" t="e">
        <f t="shared" si="6"/>
        <v>#DIV/0!</v>
      </c>
      <c r="W14" s="441"/>
      <c r="X14" s="157"/>
      <c r="Y14" s="10"/>
      <c r="Z14" s="11"/>
    </row>
    <row r="15" spans="1:26" ht="12.75" customHeight="1" hidden="1">
      <c r="A15" s="12"/>
      <c r="B15" s="13" t="s">
        <v>23</v>
      </c>
      <c r="C15" s="40" t="s">
        <v>16</v>
      </c>
      <c r="D15" s="141"/>
      <c r="E15" s="229"/>
      <c r="F15" s="141"/>
      <c r="G15" s="217"/>
      <c r="H15" s="217"/>
      <c r="I15" s="141"/>
      <c r="J15" s="217"/>
      <c r="K15" s="214" t="e">
        <f t="shared" si="1"/>
        <v>#DIV/0!</v>
      </c>
      <c r="L15" s="141"/>
      <c r="M15" s="214" t="e">
        <f t="shared" si="7"/>
        <v>#DIV/0!</v>
      </c>
      <c r="N15" s="223" t="e">
        <f t="shared" si="2"/>
        <v>#DIV/0!</v>
      </c>
      <c r="O15" s="223" t="e">
        <f t="shared" si="3"/>
        <v>#DIV/0!</v>
      </c>
      <c r="P15" s="217"/>
      <c r="Q15" s="18"/>
      <c r="R15" s="16">
        <f t="shared" si="4"/>
        <v>-100</v>
      </c>
      <c r="S15" s="18"/>
      <c r="T15" s="17">
        <f t="shared" si="8"/>
        <v>-100</v>
      </c>
      <c r="U15" s="17">
        <f t="shared" si="5"/>
        <v>-100</v>
      </c>
      <c r="V15" s="16" t="e">
        <f t="shared" si="6"/>
        <v>#DIV/0!</v>
      </c>
      <c r="W15" s="441"/>
      <c r="X15" s="157"/>
      <c r="Y15" s="10"/>
      <c r="Z15" s="11"/>
    </row>
    <row r="16" spans="1:26" ht="12.75" customHeight="1" hidden="1">
      <c r="A16" s="12"/>
      <c r="B16" s="13" t="s">
        <v>24</v>
      </c>
      <c r="C16" s="40" t="s">
        <v>16</v>
      </c>
      <c r="D16" s="141"/>
      <c r="E16" s="229"/>
      <c r="F16" s="141"/>
      <c r="G16" s="217"/>
      <c r="H16" s="217"/>
      <c r="I16" s="141"/>
      <c r="J16" s="217"/>
      <c r="K16" s="214" t="e">
        <f t="shared" si="1"/>
        <v>#DIV/0!</v>
      </c>
      <c r="L16" s="141"/>
      <c r="M16" s="214" t="e">
        <f t="shared" si="7"/>
        <v>#DIV/0!</v>
      </c>
      <c r="N16" s="223" t="e">
        <f t="shared" si="2"/>
        <v>#DIV/0!</v>
      </c>
      <c r="O16" s="223" t="e">
        <f t="shared" si="3"/>
        <v>#DIV/0!</v>
      </c>
      <c r="P16" s="217"/>
      <c r="Q16" s="18"/>
      <c r="R16" s="16">
        <f t="shared" si="4"/>
        <v>-100</v>
      </c>
      <c r="S16" s="18"/>
      <c r="T16" s="17">
        <f t="shared" si="8"/>
        <v>-100</v>
      </c>
      <c r="U16" s="17">
        <f t="shared" si="5"/>
        <v>-100</v>
      </c>
      <c r="V16" s="16" t="e">
        <f t="shared" si="6"/>
        <v>#DIV/0!</v>
      </c>
      <c r="W16" s="441"/>
      <c r="X16" s="157"/>
      <c r="Y16" s="10"/>
      <c r="Z16" s="11"/>
    </row>
    <row r="17" spans="1:26" ht="12.75" customHeight="1">
      <c r="A17" s="3">
        <v>2</v>
      </c>
      <c r="B17" s="13" t="s">
        <v>25</v>
      </c>
      <c r="C17" s="40" t="s">
        <v>16</v>
      </c>
      <c r="D17" s="141"/>
      <c r="E17" s="229"/>
      <c r="F17" s="141"/>
      <c r="G17" s="217"/>
      <c r="H17" s="217">
        <v>5.4</v>
      </c>
      <c r="I17" s="141">
        <v>2.7593983975266196</v>
      </c>
      <c r="J17" s="217">
        <v>5.4</v>
      </c>
      <c r="K17" s="214">
        <f t="shared" si="1"/>
        <v>0</v>
      </c>
      <c r="L17" s="141">
        <v>2.7593983975266196</v>
      </c>
      <c r="M17" s="214">
        <f t="shared" si="7"/>
        <v>0</v>
      </c>
      <c r="N17" s="223">
        <f t="shared" si="2"/>
        <v>-100</v>
      </c>
      <c r="O17" s="223">
        <f t="shared" si="3"/>
        <v>0</v>
      </c>
      <c r="P17" s="217"/>
      <c r="Q17" s="15">
        <f>F17</f>
        <v>0</v>
      </c>
      <c r="R17" s="16">
        <f t="shared" si="4"/>
        <v>-100</v>
      </c>
      <c r="S17" s="15">
        <f>F17</f>
        <v>0</v>
      </c>
      <c r="T17" s="17">
        <f t="shared" si="8"/>
        <v>-100</v>
      </c>
      <c r="U17" s="17">
        <f t="shared" si="5"/>
        <v>-100</v>
      </c>
      <c r="V17" s="16">
        <f t="shared" si="6"/>
        <v>0</v>
      </c>
      <c r="W17" s="442"/>
      <c r="X17" s="157"/>
      <c r="Y17" s="10"/>
      <c r="Z17" s="11"/>
    </row>
    <row r="18" spans="1:26" ht="12.75" customHeight="1">
      <c r="A18" s="12"/>
      <c r="B18" s="13" t="s">
        <v>25</v>
      </c>
      <c r="C18" s="40" t="s">
        <v>26</v>
      </c>
      <c r="D18" s="219">
        <f aca="true" t="shared" si="9" ref="D18:J18">D17/(D8+1E-124)*100</f>
        <v>0</v>
      </c>
      <c r="E18" s="214">
        <f t="shared" si="9"/>
        <v>0</v>
      </c>
      <c r="F18" s="219">
        <f>F17/(F8+1E-124)*100</f>
        <v>0</v>
      </c>
      <c r="G18" s="214">
        <f t="shared" si="9"/>
        <v>0</v>
      </c>
      <c r="H18" s="214">
        <f>H17/(H8+1E-124)*100</f>
        <v>2.893890675241158</v>
      </c>
      <c r="I18" s="219">
        <f t="shared" si="9"/>
        <v>1.5000040343487668</v>
      </c>
      <c r="J18" s="214">
        <f t="shared" si="9"/>
        <v>2.893890675241158</v>
      </c>
      <c r="K18" s="214">
        <f t="shared" si="1"/>
        <v>0</v>
      </c>
      <c r="L18" s="219">
        <f>L17/(L8+1E-124)*100</f>
        <v>1.5000040343487668</v>
      </c>
      <c r="M18" s="214">
        <f t="shared" si="7"/>
        <v>0</v>
      </c>
      <c r="N18" s="223">
        <f t="shared" si="2"/>
        <v>-100</v>
      </c>
      <c r="O18" s="223"/>
      <c r="P18" s="223"/>
      <c r="Q18" s="20">
        <f>Q17/(Q8+1E-124)*100</f>
        <v>0</v>
      </c>
      <c r="R18" s="16">
        <f t="shared" si="4"/>
        <v>-100</v>
      </c>
      <c r="S18" s="20">
        <f>S17/(S8+1E-124)*100</f>
        <v>0</v>
      </c>
      <c r="T18" s="17">
        <f t="shared" si="8"/>
        <v>-100</v>
      </c>
      <c r="U18" s="17">
        <f t="shared" si="5"/>
        <v>-100</v>
      </c>
      <c r="V18" s="16">
        <f t="shared" si="6"/>
        <v>0</v>
      </c>
      <c r="W18" s="367"/>
      <c r="X18" s="49"/>
      <c r="Y18" s="21"/>
      <c r="Z18" s="22"/>
    </row>
    <row r="19" spans="1:26" ht="14.25" customHeight="1" hidden="1">
      <c r="A19" s="319">
        <v>3</v>
      </c>
      <c r="B19" s="320" t="s">
        <v>178</v>
      </c>
      <c r="C19" s="321" t="s">
        <v>16</v>
      </c>
      <c r="D19" s="322"/>
      <c r="E19" s="322"/>
      <c r="F19" s="322"/>
      <c r="G19" s="322"/>
      <c r="H19" s="322"/>
      <c r="I19" s="220"/>
      <c r="J19" s="220"/>
      <c r="K19" s="214" t="e">
        <f t="shared" si="1"/>
        <v>#DIV/0!</v>
      </c>
      <c r="L19" s="220"/>
      <c r="M19" s="214" t="e">
        <f t="shared" si="7"/>
        <v>#DIV/0!</v>
      </c>
      <c r="N19" s="223" t="e">
        <f t="shared" si="2"/>
        <v>#DIV/0!</v>
      </c>
      <c r="O19" s="227" t="e">
        <f>M19-K19</f>
        <v>#DIV/0!</v>
      </c>
      <c r="P19" s="227"/>
      <c r="Q19" s="24"/>
      <c r="R19" s="16">
        <f t="shared" si="4"/>
        <v>-100</v>
      </c>
      <c r="S19" s="24"/>
      <c r="T19" s="8">
        <f t="shared" si="8"/>
        <v>-100</v>
      </c>
      <c r="U19" s="8">
        <f t="shared" si="5"/>
        <v>-100</v>
      </c>
      <c r="V19" s="9" t="e">
        <f t="shared" si="6"/>
        <v>#DIV/0!</v>
      </c>
      <c r="W19" s="440" t="s">
        <v>206</v>
      </c>
      <c r="X19" s="49"/>
      <c r="Y19" s="21"/>
      <c r="Z19" s="22"/>
    </row>
    <row r="20" spans="1:26" ht="12.75" customHeight="1">
      <c r="A20" s="3">
        <v>4</v>
      </c>
      <c r="B20" s="4" t="s">
        <v>27</v>
      </c>
      <c r="C20" s="40" t="s">
        <v>16</v>
      </c>
      <c r="D20" s="216">
        <f>D8-D17+D19</f>
        <v>0</v>
      </c>
      <c r="E20" s="224">
        <f aca="true" t="shared" si="10" ref="E20:J20">E8-E17+E19</f>
        <v>0</v>
      </c>
      <c r="F20" s="216">
        <f>F8-F17+F19</f>
        <v>0</v>
      </c>
      <c r="G20" s="224">
        <f t="shared" si="10"/>
        <v>0</v>
      </c>
      <c r="H20" s="224">
        <f>H23</f>
        <v>181.2</v>
      </c>
      <c r="I20" s="216">
        <f>I23</f>
        <v>181.2</v>
      </c>
      <c r="J20" s="224">
        <f t="shared" si="10"/>
        <v>181.2</v>
      </c>
      <c r="K20" s="214">
        <f t="shared" si="1"/>
        <v>0</v>
      </c>
      <c r="L20" s="216">
        <f>L23</f>
        <v>181.2</v>
      </c>
      <c r="M20" s="214">
        <f t="shared" si="7"/>
        <v>0</v>
      </c>
      <c r="N20" s="223">
        <f t="shared" si="2"/>
        <v>-100</v>
      </c>
      <c r="O20" s="227">
        <f>M20-K20</f>
        <v>0</v>
      </c>
      <c r="P20" s="227"/>
      <c r="Q20" s="5">
        <f>Q8-Q17+Q19</f>
        <v>0</v>
      </c>
      <c r="R20" s="16">
        <f t="shared" si="4"/>
        <v>-100</v>
      </c>
      <c r="S20" s="5">
        <f>S8-S17+S19</f>
        <v>0</v>
      </c>
      <c r="T20" s="8">
        <f t="shared" si="8"/>
        <v>-100</v>
      </c>
      <c r="U20" s="8">
        <f t="shared" si="5"/>
        <v>-100</v>
      </c>
      <c r="V20" s="9">
        <f t="shared" si="6"/>
        <v>0</v>
      </c>
      <c r="W20" s="441"/>
      <c r="X20" s="49"/>
      <c r="Y20" s="21"/>
      <c r="Z20" s="22"/>
    </row>
    <row r="21" spans="1:26" ht="12.75" customHeight="1">
      <c r="A21" s="3">
        <v>5</v>
      </c>
      <c r="B21" s="13" t="s">
        <v>28</v>
      </c>
      <c r="C21" s="40" t="s">
        <v>16</v>
      </c>
      <c r="D21" s="219">
        <f aca="true" t="shared" si="11" ref="D21:J21">D20-D23</f>
        <v>0</v>
      </c>
      <c r="E21" s="214">
        <f t="shared" si="11"/>
        <v>0</v>
      </c>
      <c r="F21" s="219">
        <f t="shared" si="11"/>
        <v>0</v>
      </c>
      <c r="G21" s="214">
        <f t="shared" si="11"/>
        <v>0</v>
      </c>
      <c r="H21" s="214">
        <f>H20-H23</f>
        <v>0</v>
      </c>
      <c r="I21" s="219">
        <f t="shared" si="11"/>
        <v>0</v>
      </c>
      <c r="J21" s="214">
        <f t="shared" si="11"/>
        <v>0</v>
      </c>
      <c r="K21" s="214"/>
      <c r="L21" s="216">
        <f>L20-L23</f>
        <v>0</v>
      </c>
      <c r="M21" s="214"/>
      <c r="N21" s="223">
        <f t="shared" si="2"/>
        <v>-100</v>
      </c>
      <c r="O21" s="223">
        <f>M21-K21</f>
        <v>0</v>
      </c>
      <c r="P21" s="223"/>
      <c r="Q21" s="15">
        <v>0</v>
      </c>
      <c r="R21" s="16">
        <f t="shared" si="4"/>
        <v>-100</v>
      </c>
      <c r="S21" s="15">
        <v>0</v>
      </c>
      <c r="T21" s="17">
        <f t="shared" si="8"/>
        <v>-100</v>
      </c>
      <c r="U21" s="17">
        <f t="shared" si="5"/>
        <v>-100</v>
      </c>
      <c r="V21" s="16">
        <f t="shared" si="6"/>
        <v>0</v>
      </c>
      <c r="W21" s="441"/>
      <c r="X21" s="49"/>
      <c r="Y21" s="21"/>
      <c r="Z21" s="22"/>
    </row>
    <row r="22" spans="1:26" ht="12.75" customHeight="1">
      <c r="A22" s="12"/>
      <c r="B22" s="13" t="s">
        <v>28</v>
      </c>
      <c r="C22" s="40" t="s">
        <v>26</v>
      </c>
      <c r="D22" s="219">
        <f aca="true" t="shared" si="12" ref="D22:J22">D21/(D20+1E-144)*100</f>
        <v>0</v>
      </c>
      <c r="E22" s="214">
        <f t="shared" si="12"/>
        <v>0</v>
      </c>
      <c r="F22" s="219">
        <f t="shared" si="12"/>
        <v>0</v>
      </c>
      <c r="G22" s="214">
        <f t="shared" si="12"/>
        <v>0</v>
      </c>
      <c r="H22" s="214">
        <f>H21/(H20+1E-144)*100</f>
        <v>0</v>
      </c>
      <c r="I22" s="219">
        <f t="shared" si="12"/>
        <v>0</v>
      </c>
      <c r="J22" s="214">
        <f t="shared" si="12"/>
        <v>0</v>
      </c>
      <c r="K22" s="214"/>
      <c r="L22" s="216">
        <f>L21/(L20+1E-144)*100</f>
        <v>0</v>
      </c>
      <c r="M22" s="214"/>
      <c r="N22" s="223">
        <f t="shared" si="2"/>
        <v>-100</v>
      </c>
      <c r="O22" s="223"/>
      <c r="P22" s="223"/>
      <c r="Q22" s="20">
        <f>Q21/(Q20+1E-144)*100</f>
        <v>0</v>
      </c>
      <c r="R22" s="16">
        <f t="shared" si="4"/>
        <v>-100</v>
      </c>
      <c r="S22" s="20">
        <f>S21/(S20+1E-144)*100</f>
        <v>0</v>
      </c>
      <c r="T22" s="17">
        <f t="shared" si="8"/>
        <v>-100</v>
      </c>
      <c r="U22" s="17">
        <f t="shared" si="5"/>
        <v>-100</v>
      </c>
      <c r="V22" s="16">
        <f t="shared" si="6"/>
        <v>0</v>
      </c>
      <c r="W22" s="442"/>
      <c r="X22" s="49"/>
      <c r="Y22" s="21"/>
      <c r="Z22" s="22"/>
    </row>
    <row r="23" spans="1:26" ht="16.5" customHeight="1">
      <c r="A23" s="51">
        <v>6</v>
      </c>
      <c r="B23" s="52" t="s">
        <v>29</v>
      </c>
      <c r="C23" s="163" t="s">
        <v>16</v>
      </c>
      <c r="D23" s="216">
        <f>C183</f>
        <v>0</v>
      </c>
      <c r="E23" s="216">
        <f>D183</f>
        <v>0</v>
      </c>
      <c r="F23" s="216">
        <f>F183</f>
        <v>0</v>
      </c>
      <c r="G23" s="216">
        <f>G183</f>
        <v>0</v>
      </c>
      <c r="H23" s="216">
        <v>181.2</v>
      </c>
      <c r="I23" s="216">
        <f>H23</f>
        <v>181.2</v>
      </c>
      <c r="J23" s="216">
        <v>181.2</v>
      </c>
      <c r="K23" s="337">
        <f>J23/H23*100-100</f>
        <v>0</v>
      </c>
      <c r="L23" s="337">
        <f>I23</f>
        <v>181.2</v>
      </c>
      <c r="M23" s="337">
        <f t="shared" si="7"/>
        <v>0</v>
      </c>
      <c r="N23" s="216">
        <f t="shared" si="2"/>
        <v>-100</v>
      </c>
      <c r="O23" s="216">
        <f>M23-K23</f>
        <v>0</v>
      </c>
      <c r="P23" s="216"/>
      <c r="Q23" s="164">
        <f>K183</f>
        <v>0</v>
      </c>
      <c r="R23" s="164">
        <f t="shared" si="4"/>
        <v>-100</v>
      </c>
      <c r="S23" s="164">
        <f>Q23</f>
        <v>0</v>
      </c>
      <c r="T23" s="54">
        <f t="shared" si="8"/>
        <v>-100</v>
      </c>
      <c r="U23" s="54">
        <f t="shared" si="5"/>
        <v>-100</v>
      </c>
      <c r="V23" s="55">
        <f t="shared" si="6"/>
        <v>0</v>
      </c>
      <c r="W23" s="54"/>
      <c r="X23" s="49"/>
      <c r="Y23" s="21"/>
      <c r="Z23" s="22"/>
    </row>
    <row r="24" spans="1:26" ht="12" customHeight="1">
      <c r="A24" s="305">
        <v>7</v>
      </c>
      <c r="B24" s="4" t="s">
        <v>30</v>
      </c>
      <c r="C24" s="40"/>
      <c r="D24" s="219"/>
      <c r="E24" s="214"/>
      <c r="F24" s="219"/>
      <c r="G24" s="214"/>
      <c r="H24" s="224"/>
      <c r="I24" s="219"/>
      <c r="J24" s="224"/>
      <c r="K24" s="214"/>
      <c r="L24" s="337"/>
      <c r="M24" s="214"/>
      <c r="N24" s="223"/>
      <c r="O24" s="223"/>
      <c r="P24" s="223"/>
      <c r="Q24" s="306"/>
      <c r="R24" s="307"/>
      <c r="S24" s="306"/>
      <c r="T24" s="308"/>
      <c r="U24" s="308"/>
      <c r="V24" s="309"/>
      <c r="W24" s="307"/>
      <c r="X24" s="49"/>
      <c r="Y24" s="21"/>
      <c r="Z24" s="22"/>
    </row>
    <row r="25" spans="1:26" ht="12" customHeight="1">
      <c r="A25" s="305"/>
      <c r="B25" s="333" t="s">
        <v>213</v>
      </c>
      <c r="C25" s="334" t="s">
        <v>42</v>
      </c>
      <c r="D25" s="219"/>
      <c r="E25" s="214"/>
      <c r="F25" s="219"/>
      <c r="G25" s="214"/>
      <c r="H25" s="224"/>
      <c r="I25" s="219"/>
      <c r="J25" s="224"/>
      <c r="K25" s="214"/>
      <c r="L25" s="337"/>
      <c r="M25" s="214"/>
      <c r="N25" s="223"/>
      <c r="O25" s="223"/>
      <c r="P25" s="223"/>
      <c r="Q25" s="306"/>
      <c r="R25" s="307"/>
      <c r="S25" s="306"/>
      <c r="T25" s="308"/>
      <c r="U25" s="308"/>
      <c r="V25" s="309"/>
      <c r="W25" s="307"/>
      <c r="X25" s="49"/>
      <c r="Y25" s="21"/>
      <c r="Z25" s="22"/>
    </row>
    <row r="26" spans="1:26" ht="12" customHeight="1">
      <c r="A26" s="305"/>
      <c r="B26" s="333" t="s">
        <v>214</v>
      </c>
      <c r="C26" s="334" t="s">
        <v>215</v>
      </c>
      <c r="D26" s="219"/>
      <c r="E26" s="214"/>
      <c r="F26" s="219"/>
      <c r="G26" s="214"/>
      <c r="H26" s="224"/>
      <c r="I26" s="219"/>
      <c r="J26" s="224"/>
      <c r="K26" s="214"/>
      <c r="L26" s="337"/>
      <c r="M26" s="214"/>
      <c r="N26" s="223"/>
      <c r="O26" s="223"/>
      <c r="P26" s="223"/>
      <c r="Q26" s="306"/>
      <c r="R26" s="307"/>
      <c r="S26" s="306"/>
      <c r="T26" s="308"/>
      <c r="U26" s="308"/>
      <c r="V26" s="309"/>
      <c r="W26" s="307"/>
      <c r="X26" s="49"/>
      <c r="Y26" s="21"/>
      <c r="Z26" s="22"/>
    </row>
    <row r="27" spans="1:26" ht="12" customHeight="1">
      <c r="A27" s="310" t="s">
        <v>31</v>
      </c>
      <c r="B27" s="4" t="s">
        <v>32</v>
      </c>
      <c r="C27" s="40"/>
      <c r="D27" s="219"/>
      <c r="E27" s="214"/>
      <c r="F27" s="219"/>
      <c r="G27" s="214"/>
      <c r="H27" s="224"/>
      <c r="I27" s="219"/>
      <c r="J27" s="224"/>
      <c r="K27" s="214"/>
      <c r="L27" s="337"/>
      <c r="M27" s="214"/>
      <c r="N27" s="223"/>
      <c r="O27" s="223"/>
      <c r="P27" s="223"/>
      <c r="Q27" s="306"/>
      <c r="R27" s="307"/>
      <c r="S27" s="306"/>
      <c r="T27" s="308"/>
      <c r="U27" s="308"/>
      <c r="V27" s="309"/>
      <c r="W27" s="307"/>
      <c r="X27" s="49"/>
      <c r="Y27" s="21"/>
      <c r="Z27" s="22"/>
    </row>
    <row r="28" spans="1:26" ht="12" customHeight="1">
      <c r="A28" s="12"/>
      <c r="B28" s="27" t="s">
        <v>33</v>
      </c>
      <c r="C28" s="40" t="s">
        <v>34</v>
      </c>
      <c r="D28" s="236"/>
      <c r="E28" s="214">
        <f>E30*1000*E29/(E9+1E-94)</f>
        <v>0</v>
      </c>
      <c r="F28" s="141"/>
      <c r="G28" s="214">
        <f>G30*1000*G29/(G9+1E-94)</f>
        <v>0</v>
      </c>
      <c r="H28" s="229">
        <f>I28</f>
        <v>155</v>
      </c>
      <c r="I28" s="220">
        <v>155</v>
      </c>
      <c r="J28" s="230">
        <f>H28</f>
        <v>155</v>
      </c>
      <c r="K28" s="214">
        <f>J28/H28*100-100</f>
        <v>0</v>
      </c>
      <c r="L28" s="337">
        <f>I28</f>
        <v>155</v>
      </c>
      <c r="M28" s="214">
        <f t="shared" si="7"/>
        <v>0</v>
      </c>
      <c r="N28" s="223">
        <f t="shared" si="2"/>
        <v>-100</v>
      </c>
      <c r="O28" s="223">
        <f>M28-K28</f>
        <v>0</v>
      </c>
      <c r="P28" s="217"/>
      <c r="Q28" s="252">
        <f>F28</f>
        <v>0</v>
      </c>
      <c r="R28" s="253">
        <f>Q28/(F28+1E-106)*100-100</f>
        <v>-100</v>
      </c>
      <c r="S28" s="252">
        <f>Q28</f>
        <v>0</v>
      </c>
      <c r="T28" s="253">
        <f t="shared" si="8"/>
        <v>-100</v>
      </c>
      <c r="U28" s="253">
        <f>S28/(F28+1E-106)*100-100</f>
        <v>-100</v>
      </c>
      <c r="V28" s="253">
        <f>S28-K28</f>
        <v>0</v>
      </c>
      <c r="W28" s="250"/>
      <c r="X28" s="49"/>
      <c r="Y28" s="21"/>
      <c r="Z28" s="22"/>
    </row>
    <row r="29" spans="1:26" ht="12" customHeight="1">
      <c r="A29" s="12"/>
      <c r="B29" s="27" t="s">
        <v>35</v>
      </c>
      <c r="C29" s="130"/>
      <c r="D29" s="141"/>
      <c r="E29" s="229"/>
      <c r="F29" s="141"/>
      <c r="G29" s="229"/>
      <c r="H29" s="343">
        <v>1.129</v>
      </c>
      <c r="I29" s="390">
        <v>1.129</v>
      </c>
      <c r="J29" s="344">
        <v>1.129</v>
      </c>
      <c r="K29" s="214">
        <f>J29/H29*100-100</f>
        <v>0</v>
      </c>
      <c r="L29" s="392">
        <f>I29</f>
        <v>1.129</v>
      </c>
      <c r="M29" s="214">
        <f t="shared" si="7"/>
        <v>0</v>
      </c>
      <c r="N29" s="223">
        <f t="shared" si="2"/>
        <v>-100</v>
      </c>
      <c r="O29" s="223"/>
      <c r="P29" s="217"/>
      <c r="Q29" s="252">
        <f>F29</f>
        <v>0</v>
      </c>
      <c r="R29" s="253">
        <f>Q29/(F29+1E-106)*100-100</f>
        <v>-100</v>
      </c>
      <c r="S29" s="252">
        <f>Q29</f>
        <v>0</v>
      </c>
      <c r="T29" s="253">
        <f t="shared" si="8"/>
        <v>-100</v>
      </c>
      <c r="U29" s="253">
        <f>S29/(F29+1E-106)*100-100</f>
        <v>-100</v>
      </c>
      <c r="V29" s="253">
        <f>S29-K29</f>
        <v>0</v>
      </c>
      <c r="W29" s="254"/>
      <c r="X29" s="49"/>
      <c r="Y29" s="21"/>
      <c r="Z29" s="22"/>
    </row>
    <row r="30" spans="1:26" ht="12" customHeight="1">
      <c r="A30" s="12"/>
      <c r="B30" s="13" t="s">
        <v>36</v>
      </c>
      <c r="C30" s="40" t="s">
        <v>37</v>
      </c>
      <c r="D30" s="219">
        <f>D28/(D29+1E-97)*D9/1000</f>
        <v>0</v>
      </c>
      <c r="E30" s="229"/>
      <c r="F30" s="219">
        <f>F28/(F29+1E-97)*F9/1000</f>
        <v>0</v>
      </c>
      <c r="G30" s="229"/>
      <c r="H30" s="214">
        <f>J30</f>
        <v>25.25571900054617</v>
      </c>
      <c r="I30" s="216">
        <f>I28/(I29+1E-97)*I9/1000</f>
        <v>25.25571900054617</v>
      </c>
      <c r="J30" s="235">
        <f>L30</f>
        <v>25.25571900054617</v>
      </c>
      <c r="K30" s="214">
        <f>J30/H30*100-100</f>
        <v>0</v>
      </c>
      <c r="L30" s="216">
        <f>L28/(L29+1E-97)*L9/1000</f>
        <v>25.25571900054617</v>
      </c>
      <c r="M30" s="214">
        <f t="shared" si="7"/>
        <v>0</v>
      </c>
      <c r="N30" s="223">
        <f t="shared" si="2"/>
        <v>-100</v>
      </c>
      <c r="O30" s="223">
        <f aca="true" t="shared" si="13" ref="O30:O44">M30-K30</f>
        <v>0</v>
      </c>
      <c r="P30" s="223"/>
      <c r="Q30" s="32">
        <f>Q28/(Q29+1E-97)*Q9/1000</f>
        <v>0</v>
      </c>
      <c r="R30" s="29">
        <f>Q30/(F30+1E-106)*100-100</f>
        <v>-100</v>
      </c>
      <c r="S30" s="32">
        <f>S28/(S29+1E-97)*S9/1000</f>
        <v>0</v>
      </c>
      <c r="T30" s="29">
        <f t="shared" si="8"/>
        <v>-100</v>
      </c>
      <c r="U30" s="29">
        <f>S30/(F30+1E-106)*100-100</f>
        <v>-100</v>
      </c>
      <c r="V30" s="29">
        <f>S30-K30</f>
        <v>0</v>
      </c>
      <c r="W30" s="31"/>
      <c r="X30" s="49"/>
      <c r="Y30" s="21"/>
      <c r="Z30" s="22"/>
    </row>
    <row r="31" spans="1:26" s="33" customFormat="1" ht="12" customHeight="1">
      <c r="A31" s="3"/>
      <c r="B31" s="4" t="s">
        <v>38</v>
      </c>
      <c r="C31" s="40" t="s">
        <v>39</v>
      </c>
      <c r="D31" s="220"/>
      <c r="E31" s="224">
        <f>E104/(E30+1E-103)*1000</f>
        <v>0</v>
      </c>
      <c r="F31" s="220"/>
      <c r="G31" s="224">
        <f>G104/(G30+1E-103)*1000</f>
        <v>0</v>
      </c>
      <c r="H31" s="235">
        <f>I31</f>
        <v>4264.0008</v>
      </c>
      <c r="I31" s="220">
        <f>1.18*3613.56</f>
        <v>4264.0008</v>
      </c>
      <c r="J31" s="235">
        <f>L31</f>
        <v>4903.600919999999</v>
      </c>
      <c r="K31" s="214">
        <f>J31/H31*100-100</f>
        <v>14.999999999999986</v>
      </c>
      <c r="L31" s="337">
        <f>I31*1.15</f>
        <v>4903.600919999999</v>
      </c>
      <c r="M31" s="214">
        <f t="shared" si="7"/>
        <v>14.999999999999986</v>
      </c>
      <c r="N31" s="223">
        <f t="shared" si="2"/>
        <v>-99.64821770202295</v>
      </c>
      <c r="O31" s="227">
        <f t="shared" si="13"/>
        <v>0</v>
      </c>
      <c r="P31" s="227"/>
      <c r="Q31" s="25"/>
      <c r="R31" s="7">
        <f>Q31/(F31+1E-106)*100-100</f>
        <v>-100</v>
      </c>
      <c r="S31" s="25"/>
      <c r="T31" s="7">
        <f t="shared" si="8"/>
        <v>-100</v>
      </c>
      <c r="U31" s="7">
        <f>S31/(F31+1E-106)*100-100</f>
        <v>-100</v>
      </c>
      <c r="V31" s="7">
        <f>S31-K31</f>
        <v>-14.999999999999986</v>
      </c>
      <c r="W31" s="395" t="s">
        <v>226</v>
      </c>
      <c r="X31" s="50"/>
      <c r="Z31" s="34"/>
    </row>
    <row r="32" spans="1:26" ht="12" customHeight="1">
      <c r="A32" s="12"/>
      <c r="B32" s="35" t="s">
        <v>40</v>
      </c>
      <c r="C32" s="40" t="s">
        <v>39</v>
      </c>
      <c r="D32" s="141"/>
      <c r="E32" s="229"/>
      <c r="F32" s="141"/>
      <c r="G32" s="229"/>
      <c r="H32" s="230">
        <f>I32</f>
        <v>512.6</v>
      </c>
      <c r="I32" s="337">
        <f>512.6</f>
        <v>512.6</v>
      </c>
      <c r="J32" s="230">
        <f>L32</f>
        <v>589.49</v>
      </c>
      <c r="K32" s="214">
        <f>J32/H32*100-100</f>
        <v>14.999999999999986</v>
      </c>
      <c r="L32" s="337">
        <f>512.6*1.15</f>
        <v>589.49</v>
      </c>
      <c r="M32" s="214">
        <f t="shared" si="7"/>
        <v>14.999999999999986</v>
      </c>
      <c r="N32" s="223">
        <f t="shared" si="2"/>
        <v>-97.07374170893485</v>
      </c>
      <c r="O32" s="223">
        <f t="shared" si="13"/>
        <v>0</v>
      </c>
      <c r="P32" s="223"/>
      <c r="Q32" s="28"/>
      <c r="R32" s="29">
        <f>Q32/(F32+1E-106)*100-100</f>
        <v>-100</v>
      </c>
      <c r="S32" s="28"/>
      <c r="T32" s="29">
        <f t="shared" si="8"/>
        <v>-100</v>
      </c>
      <c r="U32" s="29">
        <f>S32/(F32+1E-106)*100-100</f>
        <v>-100</v>
      </c>
      <c r="V32" s="29">
        <f>S32-K32</f>
        <v>-14.999999999999986</v>
      </c>
      <c r="W32" s="16"/>
      <c r="X32" s="49"/>
      <c r="Y32" s="21"/>
      <c r="Z32" s="22"/>
    </row>
    <row r="33" spans="1:26" ht="12" customHeight="1" hidden="1">
      <c r="A33" s="310" t="s">
        <v>31</v>
      </c>
      <c r="B33" s="4" t="s">
        <v>41</v>
      </c>
      <c r="C33" s="40"/>
      <c r="D33" s="219"/>
      <c r="E33" s="214"/>
      <c r="F33" s="219"/>
      <c r="G33" s="214"/>
      <c r="H33" s="224"/>
      <c r="I33" s="216"/>
      <c r="J33" s="224"/>
      <c r="K33" s="214"/>
      <c r="L33" s="337"/>
      <c r="M33" s="214" t="e">
        <f t="shared" si="7"/>
        <v>#DIV/0!</v>
      </c>
      <c r="N33" s="223"/>
      <c r="O33" s="223"/>
      <c r="P33" s="223"/>
      <c r="Q33" s="28"/>
      <c r="R33" s="29"/>
      <c r="S33" s="28"/>
      <c r="T33" s="29"/>
      <c r="U33" s="29"/>
      <c r="V33" s="29"/>
      <c r="W33" s="16"/>
      <c r="X33" s="49"/>
      <c r="Y33" s="21"/>
      <c r="Z33" s="22"/>
    </row>
    <row r="34" spans="1:26" ht="12" customHeight="1" hidden="1">
      <c r="A34" s="12"/>
      <c r="B34" s="27" t="s">
        <v>33</v>
      </c>
      <c r="C34" s="40" t="s">
        <v>34</v>
      </c>
      <c r="D34" s="141"/>
      <c r="E34" s="214">
        <f>E36*1000*E35/(E10+1E-99)</f>
        <v>0</v>
      </c>
      <c r="F34" s="141"/>
      <c r="G34" s="214">
        <f>G36*1000*G35/(G10+1E-99)</f>
        <v>0</v>
      </c>
      <c r="H34" s="235"/>
      <c r="I34" s="220"/>
      <c r="J34" s="235"/>
      <c r="K34" s="214"/>
      <c r="L34" s="337">
        <f>K34/(I34+1E-133)*100-100</f>
        <v>-100</v>
      </c>
      <c r="M34" s="214" t="e">
        <f t="shared" si="7"/>
        <v>#DIV/0!</v>
      </c>
      <c r="N34" s="223" t="e">
        <f t="shared" si="2"/>
        <v>#DIV/0!</v>
      </c>
      <c r="O34" s="223" t="e">
        <f t="shared" si="13"/>
        <v>#DIV/0!</v>
      </c>
      <c r="P34" s="223"/>
      <c r="Q34" s="28"/>
      <c r="R34" s="29">
        <f>Q34/(F34+1E-106)*100-100</f>
        <v>-100</v>
      </c>
      <c r="S34" s="28"/>
      <c r="T34" s="29">
        <f t="shared" si="8"/>
        <v>-100</v>
      </c>
      <c r="U34" s="29">
        <f>S34/(F34+1E-106)*100-100</f>
        <v>-100</v>
      </c>
      <c r="V34" s="29">
        <f>S34-K34</f>
        <v>0</v>
      </c>
      <c r="W34" s="16"/>
      <c r="X34" s="49"/>
      <c r="Y34" s="21"/>
      <c r="Z34" s="22"/>
    </row>
    <row r="35" spans="1:26" ht="12" customHeight="1" hidden="1">
      <c r="A35" s="12"/>
      <c r="B35" s="27" t="s">
        <v>35</v>
      </c>
      <c r="C35" s="40"/>
      <c r="D35" s="141"/>
      <c r="E35" s="229"/>
      <c r="F35" s="141"/>
      <c r="G35" s="229"/>
      <c r="H35" s="230"/>
      <c r="I35" s="220"/>
      <c r="J35" s="230"/>
      <c r="K35" s="214"/>
      <c r="L35" s="337">
        <f>K35/(I35+1E-133)*100-100</f>
        <v>-100</v>
      </c>
      <c r="M35" s="214" t="e">
        <f t="shared" si="7"/>
        <v>#DIV/0!</v>
      </c>
      <c r="N35" s="223" t="e">
        <f t="shared" si="2"/>
        <v>#DIV/0!</v>
      </c>
      <c r="O35" s="223" t="e">
        <f t="shared" si="13"/>
        <v>#DIV/0!</v>
      </c>
      <c r="P35" s="223"/>
      <c r="Q35" s="28"/>
      <c r="R35" s="29">
        <f>Q35/(F35+1E-106)*100-100</f>
        <v>-100</v>
      </c>
      <c r="S35" s="28"/>
      <c r="T35" s="29">
        <f t="shared" si="8"/>
        <v>-100</v>
      </c>
      <c r="U35" s="29">
        <f>S35/(F35+1E-106)*100-100</f>
        <v>-100</v>
      </c>
      <c r="V35" s="29">
        <f>S35-K35</f>
        <v>0</v>
      </c>
      <c r="W35" s="16"/>
      <c r="X35" s="49"/>
      <c r="Y35" s="21"/>
      <c r="Z35" s="22"/>
    </row>
    <row r="36" spans="1:26" ht="12" customHeight="1" hidden="1">
      <c r="A36" s="12"/>
      <c r="B36" s="13" t="s">
        <v>36</v>
      </c>
      <c r="C36" s="40" t="s">
        <v>42</v>
      </c>
      <c r="D36" s="219">
        <f>D34/(D35+1E-100)*D10/1000</f>
        <v>0</v>
      </c>
      <c r="E36" s="229"/>
      <c r="F36" s="219">
        <f>F34/(F35+1E-100)*F10/1000</f>
        <v>0</v>
      </c>
      <c r="G36" s="229"/>
      <c r="H36" s="235"/>
      <c r="I36" s="216">
        <f>I34/(I35+1E-100)*I10/1000</f>
        <v>0</v>
      </c>
      <c r="J36" s="235"/>
      <c r="K36" s="214"/>
      <c r="L36" s="337">
        <f>K36/(I36+1E-133)*100-100</f>
        <v>-100</v>
      </c>
      <c r="M36" s="214" t="e">
        <f t="shared" si="7"/>
        <v>#DIV/0!</v>
      </c>
      <c r="N36" s="223" t="e">
        <f t="shared" si="2"/>
        <v>#DIV/0!</v>
      </c>
      <c r="O36" s="223" t="e">
        <f t="shared" si="13"/>
        <v>#DIV/0!</v>
      </c>
      <c r="P36" s="223"/>
      <c r="Q36" s="28">
        <f>Q34/(Q35+1E-100)*Q10/1000</f>
        <v>0</v>
      </c>
      <c r="R36" s="29">
        <f>Q36/(F36+1E-106)*100-100</f>
        <v>-100</v>
      </c>
      <c r="S36" s="28">
        <f>S34/(S35+1E-100)*S10/1000</f>
        <v>0</v>
      </c>
      <c r="T36" s="29">
        <f t="shared" si="8"/>
        <v>-100</v>
      </c>
      <c r="U36" s="29">
        <f>S36/(F36+1E-106)*100-100</f>
        <v>-100</v>
      </c>
      <c r="V36" s="29">
        <f>S36-K36</f>
        <v>0</v>
      </c>
      <c r="W36" s="16"/>
      <c r="X36" s="49"/>
      <c r="Y36" s="21"/>
      <c r="Z36" s="22"/>
    </row>
    <row r="37" spans="1:26" s="33" customFormat="1" ht="12" customHeight="1" hidden="1">
      <c r="A37" s="3"/>
      <c r="B37" s="4" t="s">
        <v>38</v>
      </c>
      <c r="C37" s="40" t="s">
        <v>43</v>
      </c>
      <c r="D37" s="220"/>
      <c r="E37" s="224">
        <f>E105/(E36+1E-102)*1000</f>
        <v>0</v>
      </c>
      <c r="F37" s="220"/>
      <c r="G37" s="224">
        <f>G105/(G36+1E-102)*1000</f>
        <v>0</v>
      </c>
      <c r="H37" s="235"/>
      <c r="I37" s="220"/>
      <c r="J37" s="235"/>
      <c r="K37" s="214"/>
      <c r="L37" s="337">
        <f>K37/(I37+1E-133)*100-100</f>
        <v>-100</v>
      </c>
      <c r="M37" s="214" t="e">
        <f t="shared" si="7"/>
        <v>#DIV/0!</v>
      </c>
      <c r="N37" s="223" t="e">
        <f t="shared" si="2"/>
        <v>#DIV/0!</v>
      </c>
      <c r="O37" s="227" t="e">
        <f t="shared" si="13"/>
        <v>#DIV/0!</v>
      </c>
      <c r="P37" s="227"/>
      <c r="Q37" s="25"/>
      <c r="R37" s="7">
        <f>Q37/(F37+1E-106)*100-100</f>
        <v>-100</v>
      </c>
      <c r="S37" s="25"/>
      <c r="T37" s="7">
        <f t="shared" si="8"/>
        <v>-100</v>
      </c>
      <c r="U37" s="7">
        <f>S37/(F37+1E-106)*100-100</f>
        <v>-100</v>
      </c>
      <c r="V37" s="7">
        <f>S37-K37</f>
        <v>0</v>
      </c>
      <c r="W37" s="9"/>
      <c r="X37" s="50"/>
      <c r="Z37" s="34"/>
    </row>
    <row r="38" spans="1:26" ht="12" customHeight="1" hidden="1">
      <c r="A38" s="12"/>
      <c r="B38" s="35" t="s">
        <v>40</v>
      </c>
      <c r="C38" s="40" t="s">
        <v>43</v>
      </c>
      <c r="D38" s="141"/>
      <c r="E38" s="229"/>
      <c r="F38" s="141"/>
      <c r="G38" s="229"/>
      <c r="H38" s="230"/>
      <c r="I38" s="220"/>
      <c r="J38" s="230"/>
      <c r="K38" s="214"/>
      <c r="L38" s="337">
        <f>K38/(I38+1E-133)*100-100</f>
        <v>-100</v>
      </c>
      <c r="M38" s="214" t="e">
        <f t="shared" si="7"/>
        <v>#DIV/0!</v>
      </c>
      <c r="N38" s="223" t="e">
        <f t="shared" si="2"/>
        <v>#DIV/0!</v>
      </c>
      <c r="O38" s="223" t="e">
        <f t="shared" si="13"/>
        <v>#DIV/0!</v>
      </c>
      <c r="P38" s="223"/>
      <c r="Q38" s="28"/>
      <c r="R38" s="29">
        <f>Q38/(F38+1E-106)*100-100</f>
        <v>-100</v>
      </c>
      <c r="S38" s="28"/>
      <c r="T38" s="29">
        <f t="shared" si="8"/>
        <v>-100</v>
      </c>
      <c r="U38" s="29">
        <f>S38/(F38+1E-106)*100-100</f>
        <v>-100</v>
      </c>
      <c r="V38" s="29">
        <f>S38-K38</f>
        <v>0</v>
      </c>
      <c r="W38" s="16"/>
      <c r="X38" s="49"/>
      <c r="Y38" s="21"/>
      <c r="Z38" s="22"/>
    </row>
    <row r="39" spans="1:26" ht="12" customHeight="1" hidden="1">
      <c r="A39" s="310" t="s">
        <v>31</v>
      </c>
      <c r="B39" s="4" t="s">
        <v>44</v>
      </c>
      <c r="C39" s="40"/>
      <c r="D39" s="219"/>
      <c r="E39" s="214"/>
      <c r="F39" s="219"/>
      <c r="G39" s="214"/>
      <c r="H39" s="224"/>
      <c r="I39" s="216"/>
      <c r="J39" s="224"/>
      <c r="K39" s="214"/>
      <c r="L39" s="337"/>
      <c r="M39" s="214" t="e">
        <f t="shared" si="7"/>
        <v>#DIV/0!</v>
      </c>
      <c r="N39" s="223"/>
      <c r="O39" s="223"/>
      <c r="P39" s="223"/>
      <c r="Q39" s="28"/>
      <c r="R39" s="29"/>
      <c r="S39" s="28"/>
      <c r="T39" s="29"/>
      <c r="U39" s="29"/>
      <c r="V39" s="29"/>
      <c r="W39" s="16"/>
      <c r="X39" s="49"/>
      <c r="Y39" s="21"/>
      <c r="Z39" s="22"/>
    </row>
    <row r="40" spans="1:26" ht="12" customHeight="1" hidden="1">
      <c r="A40" s="12"/>
      <c r="B40" s="27" t="s">
        <v>33</v>
      </c>
      <c r="C40" s="40" t="s">
        <v>34</v>
      </c>
      <c r="D40" s="141"/>
      <c r="E40" s="214">
        <f>E42*1000*E41/(E11+1E-97)</f>
        <v>0</v>
      </c>
      <c r="F40" s="141"/>
      <c r="G40" s="214">
        <f>G42*1000*G41/(G11+1E-97)</f>
        <v>0</v>
      </c>
      <c r="H40" s="235"/>
      <c r="I40" s="220"/>
      <c r="J40" s="235"/>
      <c r="K40" s="214"/>
      <c r="L40" s="337">
        <f>K40/(I40+1E-133)*100-100</f>
        <v>-100</v>
      </c>
      <c r="M40" s="214" t="e">
        <f t="shared" si="7"/>
        <v>#DIV/0!</v>
      </c>
      <c r="N40" s="223" t="e">
        <f t="shared" si="2"/>
        <v>#DIV/0!</v>
      </c>
      <c r="O40" s="223" t="e">
        <f t="shared" si="13"/>
        <v>#DIV/0!</v>
      </c>
      <c r="P40" s="223"/>
      <c r="Q40" s="28"/>
      <c r="R40" s="29">
        <f>Q40/(F40+1E-106)*100-100</f>
        <v>-100</v>
      </c>
      <c r="S40" s="28"/>
      <c r="T40" s="29">
        <f t="shared" si="8"/>
        <v>-100</v>
      </c>
      <c r="U40" s="29">
        <f>S40/(F40+1E-106)*100-100</f>
        <v>-100</v>
      </c>
      <c r="V40" s="29">
        <f>S40-K40</f>
        <v>0</v>
      </c>
      <c r="W40" s="16"/>
      <c r="X40" s="49"/>
      <c r="Y40" s="21"/>
      <c r="Z40" s="22"/>
    </row>
    <row r="41" spans="1:26" ht="12" customHeight="1" hidden="1">
      <c r="A41" s="12"/>
      <c r="B41" s="27" t="s">
        <v>35</v>
      </c>
      <c r="C41" s="40"/>
      <c r="D41" s="141"/>
      <c r="E41" s="229"/>
      <c r="F41" s="141"/>
      <c r="G41" s="229"/>
      <c r="H41" s="235"/>
      <c r="I41" s="220"/>
      <c r="J41" s="235"/>
      <c r="K41" s="214"/>
      <c r="L41" s="337">
        <f>K41/(I41+1E-133)*100-100</f>
        <v>-100</v>
      </c>
      <c r="M41" s="214" t="e">
        <f t="shared" si="7"/>
        <v>#DIV/0!</v>
      </c>
      <c r="N41" s="223" t="e">
        <f t="shared" si="2"/>
        <v>#DIV/0!</v>
      </c>
      <c r="O41" s="223" t="e">
        <f t="shared" si="13"/>
        <v>#DIV/0!</v>
      </c>
      <c r="P41" s="223"/>
      <c r="Q41" s="28"/>
      <c r="R41" s="29">
        <f>Q41/(F41+1E-106)*100-100</f>
        <v>-100</v>
      </c>
      <c r="S41" s="28"/>
      <c r="T41" s="29">
        <f t="shared" si="8"/>
        <v>-100</v>
      </c>
      <c r="U41" s="29">
        <f>S41/(F41+1E-106)*100-100</f>
        <v>-100</v>
      </c>
      <c r="V41" s="29">
        <f>S41-K41</f>
        <v>0</v>
      </c>
      <c r="W41" s="16"/>
      <c r="X41" s="49"/>
      <c r="Y41" s="21"/>
      <c r="Z41" s="22"/>
    </row>
    <row r="42" spans="1:26" ht="12" customHeight="1" hidden="1">
      <c r="A42" s="12"/>
      <c r="B42" s="13" t="s">
        <v>36</v>
      </c>
      <c r="C42" s="40" t="s">
        <v>42</v>
      </c>
      <c r="D42" s="219">
        <f>D40/(D41+1E-102)*D11/1000</f>
        <v>0</v>
      </c>
      <c r="E42" s="229"/>
      <c r="F42" s="219">
        <f>F40/(F41+1E-102)*F11/1000</f>
        <v>0</v>
      </c>
      <c r="G42" s="229"/>
      <c r="H42" s="235"/>
      <c r="I42" s="216">
        <f>I40/(I41+1E-102)*I11/1000</f>
        <v>0</v>
      </c>
      <c r="J42" s="235"/>
      <c r="K42" s="214"/>
      <c r="L42" s="337">
        <f>K42/(I42+1E-133)*100-100</f>
        <v>-100</v>
      </c>
      <c r="M42" s="214" t="e">
        <f t="shared" si="7"/>
        <v>#DIV/0!</v>
      </c>
      <c r="N42" s="223" t="e">
        <f t="shared" si="2"/>
        <v>#DIV/0!</v>
      </c>
      <c r="O42" s="223" t="e">
        <f t="shared" si="13"/>
        <v>#DIV/0!</v>
      </c>
      <c r="P42" s="223"/>
      <c r="Q42" s="28">
        <f>Q40/(Q41+1E-102)*Q11/1000</f>
        <v>0</v>
      </c>
      <c r="R42" s="29">
        <f>Q42/(F42+1E-106)*100-100</f>
        <v>-100</v>
      </c>
      <c r="S42" s="28">
        <f>S40/(S41+1E-102)*S11/1000</f>
        <v>0</v>
      </c>
      <c r="T42" s="29">
        <f t="shared" si="8"/>
        <v>-100</v>
      </c>
      <c r="U42" s="29">
        <f>S42/(F42+1E-106)*100-100</f>
        <v>-100</v>
      </c>
      <c r="V42" s="29">
        <f>S42-K42</f>
        <v>0</v>
      </c>
      <c r="W42" s="16"/>
      <c r="X42" s="49"/>
      <c r="Y42" s="21"/>
      <c r="Z42" s="22"/>
    </row>
    <row r="43" spans="1:26" s="33" customFormat="1" ht="12" customHeight="1" hidden="1">
      <c r="A43" s="3"/>
      <c r="B43" s="4" t="s">
        <v>38</v>
      </c>
      <c r="C43" s="40" t="s">
        <v>43</v>
      </c>
      <c r="D43" s="220"/>
      <c r="E43" s="224">
        <f>E106/(E42+1E-103)*1000</f>
        <v>0</v>
      </c>
      <c r="F43" s="220"/>
      <c r="G43" s="224">
        <f>G106/(G42+1E-103)*1000</f>
        <v>0</v>
      </c>
      <c r="H43" s="235"/>
      <c r="I43" s="220"/>
      <c r="J43" s="235"/>
      <c r="K43" s="214"/>
      <c r="L43" s="337">
        <f>K43/(I43+1E-133)*100-100</f>
        <v>-100</v>
      </c>
      <c r="M43" s="214" t="e">
        <f t="shared" si="7"/>
        <v>#DIV/0!</v>
      </c>
      <c r="N43" s="223" t="e">
        <f t="shared" si="2"/>
        <v>#DIV/0!</v>
      </c>
      <c r="O43" s="227" t="e">
        <f t="shared" si="13"/>
        <v>#DIV/0!</v>
      </c>
      <c r="P43" s="227"/>
      <c r="Q43" s="25"/>
      <c r="R43" s="7">
        <f>Q43/(F43+1E-106)*100-100</f>
        <v>-100</v>
      </c>
      <c r="S43" s="25"/>
      <c r="T43" s="7">
        <f t="shared" si="8"/>
        <v>-100</v>
      </c>
      <c r="U43" s="7">
        <f>S43/(F43+1E-106)*100-100</f>
        <v>-100</v>
      </c>
      <c r="V43" s="7">
        <f>S43-K43</f>
        <v>0</v>
      </c>
      <c r="W43" s="9"/>
      <c r="X43" s="50"/>
      <c r="Z43" s="34"/>
    </row>
    <row r="44" spans="1:26" ht="12" customHeight="1" hidden="1">
      <c r="A44" s="12"/>
      <c r="B44" s="35" t="s">
        <v>40</v>
      </c>
      <c r="C44" s="40" t="s">
        <v>43</v>
      </c>
      <c r="D44" s="141"/>
      <c r="E44" s="229"/>
      <c r="F44" s="141"/>
      <c r="G44" s="229"/>
      <c r="H44" s="230"/>
      <c r="I44" s="220"/>
      <c r="J44" s="230"/>
      <c r="K44" s="214"/>
      <c r="L44" s="337">
        <f>K44/(I44+1E-133)*100-100</f>
        <v>-100</v>
      </c>
      <c r="M44" s="214" t="e">
        <f t="shared" si="7"/>
        <v>#DIV/0!</v>
      </c>
      <c r="N44" s="223" t="e">
        <f t="shared" si="2"/>
        <v>#DIV/0!</v>
      </c>
      <c r="O44" s="223" t="e">
        <f t="shared" si="13"/>
        <v>#DIV/0!</v>
      </c>
      <c r="P44" s="217"/>
      <c r="Q44" s="28"/>
      <c r="R44" s="29">
        <f>Q44/(F44+1E-106)*100-100</f>
        <v>-100</v>
      </c>
      <c r="S44" s="28"/>
      <c r="T44" s="29">
        <f t="shared" si="8"/>
        <v>-100</v>
      </c>
      <c r="U44" s="29">
        <f>S44/(F44+1E-106)*100-100</f>
        <v>-100</v>
      </c>
      <c r="V44" s="29">
        <f>S44-K44</f>
        <v>0</v>
      </c>
      <c r="W44" s="16"/>
      <c r="X44" s="49"/>
      <c r="Y44" s="21"/>
      <c r="Z44" s="22"/>
    </row>
    <row r="45" spans="1:26" ht="12" customHeight="1" hidden="1">
      <c r="A45" s="310" t="s">
        <v>31</v>
      </c>
      <c r="B45" s="4" t="s">
        <v>45</v>
      </c>
      <c r="C45" s="40"/>
      <c r="D45" s="219"/>
      <c r="E45" s="214"/>
      <c r="F45" s="219"/>
      <c r="G45" s="214"/>
      <c r="H45" s="224"/>
      <c r="I45" s="216"/>
      <c r="J45" s="224"/>
      <c r="K45" s="214"/>
      <c r="L45" s="337"/>
      <c r="M45" s="214" t="e">
        <f t="shared" si="7"/>
        <v>#DIV/0!</v>
      </c>
      <c r="N45" s="223"/>
      <c r="O45" s="223"/>
      <c r="P45" s="223"/>
      <c r="Q45" s="28"/>
      <c r="R45" s="29"/>
      <c r="S45" s="28"/>
      <c r="T45" s="29"/>
      <c r="U45" s="29"/>
      <c r="V45" s="29"/>
      <c r="W45" s="16"/>
      <c r="X45" s="49"/>
      <c r="Y45" s="21"/>
      <c r="Z45" s="22"/>
    </row>
    <row r="46" spans="1:26" ht="12" customHeight="1" hidden="1">
      <c r="A46" s="12"/>
      <c r="B46" s="27" t="s">
        <v>33</v>
      </c>
      <c r="C46" s="40" t="s">
        <v>34</v>
      </c>
      <c r="D46" s="141"/>
      <c r="E46" s="214">
        <f>E48*1000*E47/(E12+1E-99)</f>
        <v>0</v>
      </c>
      <c r="F46" s="141"/>
      <c r="G46" s="214">
        <f>G48*1000*G47/(G12+1E-99)</f>
        <v>0</v>
      </c>
      <c r="H46" s="235"/>
      <c r="I46" s="220"/>
      <c r="J46" s="235"/>
      <c r="K46" s="214"/>
      <c r="L46" s="337">
        <f>K46/(I46+1E-133)*100-100</f>
        <v>-100</v>
      </c>
      <c r="M46" s="214" t="e">
        <f t="shared" si="7"/>
        <v>#DIV/0!</v>
      </c>
      <c r="N46" s="223" t="e">
        <f t="shared" si="2"/>
        <v>#DIV/0!</v>
      </c>
      <c r="O46" s="223" t="e">
        <f aca="true" t="shared" si="14" ref="O46:O71">M46-K46</f>
        <v>#DIV/0!</v>
      </c>
      <c r="P46" s="223"/>
      <c r="Q46" s="28"/>
      <c r="R46" s="29">
        <f>Q46/(F46+1E-106)*100-100</f>
        <v>-100</v>
      </c>
      <c r="S46" s="28"/>
      <c r="T46" s="29">
        <f t="shared" si="8"/>
        <v>-100</v>
      </c>
      <c r="U46" s="29">
        <f>S46/(F46+1E-106)*100-100</f>
        <v>-100</v>
      </c>
      <c r="V46" s="29">
        <f>S46-K46</f>
        <v>0</v>
      </c>
      <c r="W46" s="16"/>
      <c r="X46" s="49"/>
      <c r="Y46" s="21"/>
      <c r="Z46" s="22"/>
    </row>
    <row r="47" spans="1:26" ht="12" customHeight="1" hidden="1">
      <c r="A47" s="12"/>
      <c r="B47" s="27" t="s">
        <v>35</v>
      </c>
      <c r="C47" s="40"/>
      <c r="D47" s="141"/>
      <c r="E47" s="229"/>
      <c r="F47" s="141"/>
      <c r="G47" s="229"/>
      <c r="H47" s="230"/>
      <c r="I47" s="220"/>
      <c r="J47" s="230"/>
      <c r="K47" s="214"/>
      <c r="L47" s="337">
        <f>K47/(I47+1E-133)*100-100</f>
        <v>-100</v>
      </c>
      <c r="M47" s="214" t="e">
        <f t="shared" si="7"/>
        <v>#DIV/0!</v>
      </c>
      <c r="N47" s="223" t="e">
        <f t="shared" si="2"/>
        <v>#DIV/0!</v>
      </c>
      <c r="O47" s="223" t="e">
        <f t="shared" si="14"/>
        <v>#DIV/0!</v>
      </c>
      <c r="P47" s="217"/>
      <c r="Q47" s="28"/>
      <c r="R47" s="29">
        <f>Q47/(F47+1E-106)*100-100</f>
        <v>-100</v>
      </c>
      <c r="S47" s="28"/>
      <c r="T47" s="29">
        <f t="shared" si="8"/>
        <v>-100</v>
      </c>
      <c r="U47" s="29">
        <f>S47/(F47+1E-106)*100-100</f>
        <v>-100</v>
      </c>
      <c r="V47" s="29">
        <f>S47-K47</f>
        <v>0</v>
      </c>
      <c r="W47" s="16"/>
      <c r="X47" s="49"/>
      <c r="Y47" s="21"/>
      <c r="Z47" s="22"/>
    </row>
    <row r="48" spans="1:26" ht="12" customHeight="1" hidden="1">
      <c r="A48" s="12"/>
      <c r="B48" s="13" t="s">
        <v>36</v>
      </c>
      <c r="C48" s="40" t="s">
        <v>42</v>
      </c>
      <c r="D48" s="219">
        <f>D46/(D47+1E-105)*D12/1000</f>
        <v>0</v>
      </c>
      <c r="E48" s="229"/>
      <c r="F48" s="219">
        <f>F46/(F47+1E-105)*F12/1000</f>
        <v>0</v>
      </c>
      <c r="G48" s="229"/>
      <c r="H48" s="235"/>
      <c r="I48" s="216">
        <f>I46/(I47+1E-105)*I12/1000</f>
        <v>0</v>
      </c>
      <c r="J48" s="235"/>
      <c r="K48" s="214"/>
      <c r="L48" s="337">
        <f>K48/(I48+1E-133)*100-100</f>
        <v>-100</v>
      </c>
      <c r="M48" s="214" t="e">
        <f t="shared" si="7"/>
        <v>#DIV/0!</v>
      </c>
      <c r="N48" s="223" t="e">
        <f t="shared" si="2"/>
        <v>#DIV/0!</v>
      </c>
      <c r="O48" s="223" t="e">
        <f t="shared" si="14"/>
        <v>#DIV/0!</v>
      </c>
      <c r="P48" s="223"/>
      <c r="Q48" s="28">
        <f>Q46/(Q47+1E-105)*Q12/1000</f>
        <v>0</v>
      </c>
      <c r="R48" s="29">
        <f>Q48/(F48+1E-106)*100-100</f>
        <v>-100</v>
      </c>
      <c r="S48" s="28">
        <f>S46/(S47+1E-105)*S12/1000</f>
        <v>0</v>
      </c>
      <c r="T48" s="29">
        <f t="shared" si="8"/>
        <v>-100</v>
      </c>
      <c r="U48" s="29">
        <f>S48/(F48+1E-106)*100-100</f>
        <v>-100</v>
      </c>
      <c r="V48" s="29">
        <f>S48-K48</f>
        <v>0</v>
      </c>
      <c r="W48" s="16"/>
      <c r="X48" s="49"/>
      <c r="Y48" s="21"/>
      <c r="Z48" s="22"/>
    </row>
    <row r="49" spans="1:26" s="33" customFormat="1" ht="12" customHeight="1" hidden="1">
      <c r="A49" s="3"/>
      <c r="B49" s="4" t="s">
        <v>38</v>
      </c>
      <c r="C49" s="40" t="s">
        <v>43</v>
      </c>
      <c r="D49" s="220"/>
      <c r="E49" s="224">
        <f>E107/(E48+1E-102)*1000</f>
        <v>0</v>
      </c>
      <c r="F49" s="220"/>
      <c r="G49" s="224">
        <f>G107/(G48+1E-102)*1000</f>
        <v>0</v>
      </c>
      <c r="H49" s="235"/>
      <c r="I49" s="220"/>
      <c r="J49" s="235"/>
      <c r="K49" s="214"/>
      <c r="L49" s="337">
        <f>K49/(I49+1E-133)*100-100</f>
        <v>-100</v>
      </c>
      <c r="M49" s="214" t="e">
        <f t="shared" si="7"/>
        <v>#DIV/0!</v>
      </c>
      <c r="N49" s="223" t="e">
        <f t="shared" si="2"/>
        <v>#DIV/0!</v>
      </c>
      <c r="O49" s="227" t="e">
        <f t="shared" si="14"/>
        <v>#DIV/0!</v>
      </c>
      <c r="P49" s="227"/>
      <c r="Q49" s="25"/>
      <c r="R49" s="7">
        <f>Q49/(F49+1E-106)*100-100</f>
        <v>-100</v>
      </c>
      <c r="S49" s="25"/>
      <c r="T49" s="7">
        <f t="shared" si="8"/>
        <v>-100</v>
      </c>
      <c r="U49" s="7">
        <f>S49/(F49+1E-106)*100-100</f>
        <v>-100</v>
      </c>
      <c r="V49" s="7">
        <f>S49-K49</f>
        <v>0</v>
      </c>
      <c r="W49" s="9"/>
      <c r="X49" s="50"/>
      <c r="Z49" s="34"/>
    </row>
    <row r="50" spans="1:26" ht="12" customHeight="1" hidden="1">
      <c r="A50" s="12"/>
      <c r="B50" s="35" t="s">
        <v>40</v>
      </c>
      <c r="C50" s="40" t="s">
        <v>43</v>
      </c>
      <c r="D50" s="141"/>
      <c r="E50" s="229"/>
      <c r="F50" s="141"/>
      <c r="G50" s="229"/>
      <c r="H50" s="230"/>
      <c r="I50" s="220"/>
      <c r="J50" s="230"/>
      <c r="K50" s="214"/>
      <c r="L50" s="337">
        <f>K50/(I50+1E-133)*100-100</f>
        <v>-100</v>
      </c>
      <c r="M50" s="214" t="e">
        <f t="shared" si="7"/>
        <v>#DIV/0!</v>
      </c>
      <c r="N50" s="223" t="e">
        <f t="shared" si="2"/>
        <v>#DIV/0!</v>
      </c>
      <c r="O50" s="223" t="e">
        <f t="shared" si="14"/>
        <v>#DIV/0!</v>
      </c>
      <c r="P50" s="217"/>
      <c r="Q50" s="28"/>
      <c r="R50" s="29">
        <f>Q50/(F50+1E-106)*100-100</f>
        <v>-100</v>
      </c>
      <c r="S50" s="28"/>
      <c r="T50" s="29">
        <f t="shared" si="8"/>
        <v>-100</v>
      </c>
      <c r="U50" s="29">
        <f>S50/(F50+1E-106)*100-100</f>
        <v>-100</v>
      </c>
      <c r="V50" s="29">
        <f>S50-K50</f>
        <v>0</v>
      </c>
      <c r="W50" s="16"/>
      <c r="X50" s="49"/>
      <c r="Y50" s="21"/>
      <c r="Z50" s="22"/>
    </row>
    <row r="51" spans="1:26" ht="12" customHeight="1" hidden="1">
      <c r="A51" s="310" t="s">
        <v>31</v>
      </c>
      <c r="B51" s="4" t="s">
        <v>46</v>
      </c>
      <c r="C51" s="40"/>
      <c r="D51" s="219"/>
      <c r="E51" s="214"/>
      <c r="F51" s="219"/>
      <c r="G51" s="214"/>
      <c r="H51" s="224"/>
      <c r="I51" s="216"/>
      <c r="J51" s="224"/>
      <c r="K51" s="214"/>
      <c r="L51" s="337"/>
      <c r="M51" s="214" t="e">
        <f t="shared" si="7"/>
        <v>#DIV/0!</v>
      </c>
      <c r="N51" s="223"/>
      <c r="O51" s="223"/>
      <c r="P51" s="223"/>
      <c r="Q51" s="28"/>
      <c r="R51" s="29"/>
      <c r="S51" s="28"/>
      <c r="T51" s="29"/>
      <c r="U51" s="29"/>
      <c r="V51" s="29"/>
      <c r="W51" s="16"/>
      <c r="X51" s="49"/>
      <c r="Y51" s="21"/>
      <c r="Z51" s="22"/>
    </row>
    <row r="52" spans="1:26" ht="12" customHeight="1" hidden="1">
      <c r="A52" s="12"/>
      <c r="B52" s="27" t="s">
        <v>33</v>
      </c>
      <c r="C52" s="40" t="s">
        <v>34</v>
      </c>
      <c r="D52" s="141"/>
      <c r="E52" s="214">
        <f>E54*1000*E53/(E13+1E-97)</f>
        <v>0</v>
      </c>
      <c r="F52" s="141"/>
      <c r="G52" s="214">
        <f>G54*1000*G53/(G13+1E-97)</f>
        <v>0</v>
      </c>
      <c r="H52" s="235"/>
      <c r="I52" s="220"/>
      <c r="J52" s="235"/>
      <c r="K52" s="214"/>
      <c r="L52" s="337">
        <f>K52/(I52+1E-133)*100-100</f>
        <v>-100</v>
      </c>
      <c r="M52" s="214" t="e">
        <f t="shared" si="7"/>
        <v>#DIV/0!</v>
      </c>
      <c r="N52" s="223" t="e">
        <f t="shared" si="2"/>
        <v>#DIV/0!</v>
      </c>
      <c r="O52" s="223" t="e">
        <f t="shared" si="14"/>
        <v>#DIV/0!</v>
      </c>
      <c r="P52" s="223"/>
      <c r="Q52" s="28"/>
      <c r="R52" s="29">
        <f>Q52/(F52+1E-106)*100-100</f>
        <v>-100</v>
      </c>
      <c r="S52" s="28"/>
      <c r="T52" s="29">
        <f t="shared" si="8"/>
        <v>-100</v>
      </c>
      <c r="U52" s="29">
        <f>S52/(F52+1E-106)*100-100</f>
        <v>-100</v>
      </c>
      <c r="V52" s="29">
        <f>S52-K52</f>
        <v>0</v>
      </c>
      <c r="W52" s="16"/>
      <c r="X52" s="49"/>
      <c r="Y52" s="21"/>
      <c r="Z52" s="22"/>
    </row>
    <row r="53" spans="1:26" ht="12" customHeight="1" hidden="1">
      <c r="A53" s="12"/>
      <c r="B53" s="27" t="s">
        <v>35</v>
      </c>
      <c r="C53" s="40"/>
      <c r="D53" s="141"/>
      <c r="E53" s="229"/>
      <c r="F53" s="141"/>
      <c r="G53" s="229"/>
      <c r="H53" s="230"/>
      <c r="I53" s="220"/>
      <c r="J53" s="230"/>
      <c r="K53" s="214"/>
      <c r="L53" s="337">
        <f>K53/(I53+1E-133)*100-100</f>
        <v>-100</v>
      </c>
      <c r="M53" s="214" t="e">
        <f t="shared" si="7"/>
        <v>#DIV/0!</v>
      </c>
      <c r="N53" s="223" t="e">
        <f t="shared" si="2"/>
        <v>#DIV/0!</v>
      </c>
      <c r="O53" s="223" t="e">
        <f t="shared" si="14"/>
        <v>#DIV/0!</v>
      </c>
      <c r="P53" s="217"/>
      <c r="Q53" s="28"/>
      <c r="R53" s="29">
        <f>Q53/(F53+1E-106)*100-100</f>
        <v>-100</v>
      </c>
      <c r="S53" s="28"/>
      <c r="T53" s="29">
        <f t="shared" si="8"/>
        <v>-100</v>
      </c>
      <c r="U53" s="29">
        <f>S53/(F53+1E-106)*100-100</f>
        <v>-100</v>
      </c>
      <c r="V53" s="29">
        <f>S53-K53</f>
        <v>0</v>
      </c>
      <c r="W53" s="16"/>
      <c r="X53" s="49"/>
      <c r="Y53" s="21"/>
      <c r="Z53" s="22"/>
    </row>
    <row r="54" spans="1:26" ht="12" customHeight="1" hidden="1">
      <c r="A54" s="12"/>
      <c r="B54" s="13" t="s">
        <v>36</v>
      </c>
      <c r="C54" s="40" t="s">
        <v>42</v>
      </c>
      <c r="D54" s="219">
        <f>D52/(D53+1E-101)*D13/1000</f>
        <v>0</v>
      </c>
      <c r="E54" s="229"/>
      <c r="F54" s="219">
        <f>F52/(F53+1E-101)*F13/1000</f>
        <v>0</v>
      </c>
      <c r="G54" s="229"/>
      <c r="H54" s="235"/>
      <c r="I54" s="216">
        <f>I52/(I53+1E-101)*I13/1000</f>
        <v>0</v>
      </c>
      <c r="J54" s="235"/>
      <c r="K54" s="214"/>
      <c r="L54" s="337">
        <f>K54/(I54+1E-133)*100-100</f>
        <v>-100</v>
      </c>
      <c r="M54" s="214" t="e">
        <f t="shared" si="7"/>
        <v>#DIV/0!</v>
      </c>
      <c r="N54" s="223" t="e">
        <f t="shared" si="2"/>
        <v>#DIV/0!</v>
      </c>
      <c r="O54" s="223" t="e">
        <f t="shared" si="14"/>
        <v>#DIV/0!</v>
      </c>
      <c r="P54" s="223"/>
      <c r="Q54" s="28">
        <f>Q52/(Q53+1E-101)*Q13/1000</f>
        <v>0</v>
      </c>
      <c r="R54" s="29">
        <f>Q54/(F54+1E-106)*100-100</f>
        <v>-100</v>
      </c>
      <c r="S54" s="28">
        <f>S52/(S53+1E-101)*S13/1000</f>
        <v>0</v>
      </c>
      <c r="T54" s="29">
        <f t="shared" si="8"/>
        <v>-100</v>
      </c>
      <c r="U54" s="29">
        <f>S54/(F54+1E-106)*100-100</f>
        <v>-100</v>
      </c>
      <c r="V54" s="29">
        <f>S54-K54</f>
        <v>0</v>
      </c>
      <c r="W54" s="16"/>
      <c r="X54" s="49"/>
      <c r="Y54" s="21"/>
      <c r="Z54" s="22"/>
    </row>
    <row r="55" spans="1:26" s="33" customFormat="1" ht="12" customHeight="1" hidden="1">
      <c r="A55" s="3"/>
      <c r="B55" s="4" t="s">
        <v>38</v>
      </c>
      <c r="C55" s="40" t="s">
        <v>43</v>
      </c>
      <c r="D55" s="220"/>
      <c r="E55" s="224">
        <f>E108/(E54+1E-102)*1000</f>
        <v>0</v>
      </c>
      <c r="F55" s="220"/>
      <c r="G55" s="224">
        <f>G108/(G54+1E-102)*1000</f>
        <v>0</v>
      </c>
      <c r="H55" s="230"/>
      <c r="I55" s="220"/>
      <c r="J55" s="230"/>
      <c r="K55" s="214"/>
      <c r="L55" s="337">
        <f>K55/(I55+1E-133)*100-100</f>
        <v>-100</v>
      </c>
      <c r="M55" s="214" t="e">
        <f t="shared" si="7"/>
        <v>#DIV/0!</v>
      </c>
      <c r="N55" s="223" t="e">
        <f t="shared" si="2"/>
        <v>#DIV/0!</v>
      </c>
      <c r="O55" s="227" t="e">
        <f t="shared" si="14"/>
        <v>#DIV/0!</v>
      </c>
      <c r="P55" s="227"/>
      <c r="Q55" s="25"/>
      <c r="R55" s="7">
        <f>Q55/(F55+1E-106)*100-100</f>
        <v>-100</v>
      </c>
      <c r="S55" s="25"/>
      <c r="T55" s="7">
        <f t="shared" si="8"/>
        <v>-100</v>
      </c>
      <c r="U55" s="7">
        <f>S55/(F55+1E-106)*100-100</f>
        <v>-100</v>
      </c>
      <c r="V55" s="7">
        <f>S55-K55</f>
        <v>0</v>
      </c>
      <c r="W55" s="9"/>
      <c r="X55" s="50"/>
      <c r="Z55" s="34"/>
    </row>
    <row r="56" spans="1:26" ht="12" customHeight="1" hidden="1">
      <c r="A56" s="12"/>
      <c r="B56" s="35" t="s">
        <v>40</v>
      </c>
      <c r="C56" s="40" t="s">
        <v>43</v>
      </c>
      <c r="D56" s="141"/>
      <c r="E56" s="229"/>
      <c r="F56" s="141"/>
      <c r="G56" s="229"/>
      <c r="H56" s="230"/>
      <c r="I56" s="220"/>
      <c r="J56" s="230"/>
      <c r="K56" s="214"/>
      <c r="L56" s="337">
        <f>K56/(I56+1E-133)*100-100</f>
        <v>-100</v>
      </c>
      <c r="M56" s="214" t="e">
        <f t="shared" si="7"/>
        <v>#DIV/0!</v>
      </c>
      <c r="N56" s="223" t="e">
        <f t="shared" si="2"/>
        <v>#DIV/0!</v>
      </c>
      <c r="O56" s="223" t="e">
        <f t="shared" si="14"/>
        <v>#DIV/0!</v>
      </c>
      <c r="P56" s="217"/>
      <c r="Q56" s="28"/>
      <c r="R56" s="29">
        <f>Q56/(F56+1E-106)*100-100</f>
        <v>-100</v>
      </c>
      <c r="S56" s="28"/>
      <c r="T56" s="29">
        <f t="shared" si="8"/>
        <v>-100</v>
      </c>
      <c r="U56" s="29">
        <f>S56/(F56+1E-106)*100-100</f>
        <v>-100</v>
      </c>
      <c r="V56" s="29">
        <f>S56-K56</f>
        <v>0</v>
      </c>
      <c r="W56" s="16"/>
      <c r="X56" s="49"/>
      <c r="Y56" s="21"/>
      <c r="Z56" s="22"/>
    </row>
    <row r="57" spans="1:26" ht="12" customHeight="1" hidden="1">
      <c r="A57" s="310" t="s">
        <v>31</v>
      </c>
      <c r="B57" s="4" t="s">
        <v>47</v>
      </c>
      <c r="C57" s="40"/>
      <c r="D57" s="219"/>
      <c r="E57" s="214"/>
      <c r="F57" s="219"/>
      <c r="G57" s="214"/>
      <c r="H57" s="224"/>
      <c r="I57" s="216"/>
      <c r="J57" s="224"/>
      <c r="K57" s="214"/>
      <c r="L57" s="337"/>
      <c r="M57" s="214" t="e">
        <f t="shared" si="7"/>
        <v>#DIV/0!</v>
      </c>
      <c r="N57" s="223"/>
      <c r="O57" s="223"/>
      <c r="P57" s="223"/>
      <c r="Q57" s="28"/>
      <c r="R57" s="29"/>
      <c r="S57" s="28"/>
      <c r="T57" s="29"/>
      <c r="U57" s="29"/>
      <c r="V57" s="29"/>
      <c r="W57" s="16"/>
      <c r="X57" s="49"/>
      <c r="Y57" s="21"/>
      <c r="Z57" s="22"/>
    </row>
    <row r="58" spans="1:26" ht="12" customHeight="1" hidden="1">
      <c r="A58" s="12"/>
      <c r="B58" s="27" t="s">
        <v>33</v>
      </c>
      <c r="C58" s="40" t="s">
        <v>34</v>
      </c>
      <c r="D58" s="141"/>
      <c r="E58" s="214">
        <f>E60*1000*E59/(E14+1E-96)</f>
        <v>0</v>
      </c>
      <c r="F58" s="141"/>
      <c r="G58" s="214">
        <f>G60*1000*G59/(G14+1E-96)</f>
        <v>0</v>
      </c>
      <c r="H58" s="230"/>
      <c r="I58" s="220"/>
      <c r="J58" s="230"/>
      <c r="K58" s="214"/>
      <c r="L58" s="337">
        <f>K58/(I58+1E-133)*100-100</f>
        <v>-100</v>
      </c>
      <c r="M58" s="214" t="e">
        <f t="shared" si="7"/>
        <v>#DIV/0!</v>
      </c>
      <c r="N58" s="223" t="e">
        <f t="shared" si="2"/>
        <v>#DIV/0!</v>
      </c>
      <c r="O58" s="223" t="e">
        <f t="shared" si="14"/>
        <v>#DIV/0!</v>
      </c>
      <c r="P58" s="223"/>
      <c r="Q58" s="28"/>
      <c r="R58" s="29">
        <f>Q58/(F58+1E-106)*100-100</f>
        <v>-100</v>
      </c>
      <c r="S58" s="28"/>
      <c r="T58" s="29">
        <f t="shared" si="8"/>
        <v>-100</v>
      </c>
      <c r="U58" s="29">
        <f>S58/(F58+1E-106)*100-100</f>
        <v>-100</v>
      </c>
      <c r="V58" s="29">
        <f>S58-K58</f>
        <v>0</v>
      </c>
      <c r="W58" s="16"/>
      <c r="X58" s="49"/>
      <c r="Y58" s="21"/>
      <c r="Z58" s="22"/>
    </row>
    <row r="59" spans="1:26" ht="12" customHeight="1" hidden="1">
      <c r="A59" s="12"/>
      <c r="B59" s="27" t="s">
        <v>35</v>
      </c>
      <c r="C59" s="40"/>
      <c r="D59" s="141"/>
      <c r="E59" s="229"/>
      <c r="F59" s="141"/>
      <c r="G59" s="229"/>
      <c r="H59" s="224"/>
      <c r="I59" s="220"/>
      <c r="J59" s="224"/>
      <c r="K59" s="214"/>
      <c r="L59" s="337">
        <f>K59/(I59+1E-133)*100-100</f>
        <v>-100</v>
      </c>
      <c r="M59" s="214" t="e">
        <f t="shared" si="7"/>
        <v>#DIV/0!</v>
      </c>
      <c r="N59" s="223" t="e">
        <f t="shared" si="2"/>
        <v>#DIV/0!</v>
      </c>
      <c r="O59" s="223" t="e">
        <f t="shared" si="14"/>
        <v>#DIV/0!</v>
      </c>
      <c r="P59" s="217"/>
      <c r="Q59" s="28"/>
      <c r="R59" s="29">
        <f>Q59/(F59+1E-106)*100-100</f>
        <v>-100</v>
      </c>
      <c r="S59" s="28"/>
      <c r="T59" s="29">
        <f t="shared" si="8"/>
        <v>-100</v>
      </c>
      <c r="U59" s="29">
        <f>S59/(F59+1E-106)*100-100</f>
        <v>-100</v>
      </c>
      <c r="V59" s="29">
        <f>S59-K59</f>
        <v>0</v>
      </c>
      <c r="W59" s="16"/>
      <c r="X59" s="49"/>
      <c r="Y59" s="21"/>
      <c r="Z59" s="22"/>
    </row>
    <row r="60" spans="1:26" ht="12" customHeight="1" hidden="1">
      <c r="A60" s="12"/>
      <c r="B60" s="13" t="s">
        <v>36</v>
      </c>
      <c r="C60" s="40" t="s">
        <v>42</v>
      </c>
      <c r="D60" s="219">
        <f>D58/(D59+1E-101)*D14/1000</f>
        <v>0</v>
      </c>
      <c r="E60" s="229"/>
      <c r="F60" s="219">
        <f>F58/(F59+1E-101)*F14/1000</f>
        <v>0</v>
      </c>
      <c r="G60" s="229"/>
      <c r="H60" s="235"/>
      <c r="I60" s="216">
        <f>I58/(I59+1E-101)*I14/1000</f>
        <v>0</v>
      </c>
      <c r="J60" s="235"/>
      <c r="K60" s="214"/>
      <c r="L60" s="337">
        <f>K60/(I60+1E-133)*100-100</f>
        <v>-100</v>
      </c>
      <c r="M60" s="214" t="e">
        <f t="shared" si="7"/>
        <v>#DIV/0!</v>
      </c>
      <c r="N60" s="223" t="e">
        <f t="shared" si="2"/>
        <v>#DIV/0!</v>
      </c>
      <c r="O60" s="223" t="e">
        <f t="shared" si="14"/>
        <v>#DIV/0!</v>
      </c>
      <c r="P60" s="223"/>
      <c r="Q60" s="28">
        <f>Q58/(Q59+1E-101)*Q14/1000</f>
        <v>0</v>
      </c>
      <c r="R60" s="29">
        <f>Q60/(F60+1E-106)*100-100</f>
        <v>-100</v>
      </c>
      <c r="S60" s="28">
        <f>S58/(S59+1E-101)*S14/1000</f>
        <v>0</v>
      </c>
      <c r="T60" s="29">
        <f t="shared" si="8"/>
        <v>-100</v>
      </c>
      <c r="U60" s="29">
        <f>S60/(F60+1E-106)*100-100</f>
        <v>-100</v>
      </c>
      <c r="V60" s="29">
        <f>S60-K60</f>
        <v>0</v>
      </c>
      <c r="W60" s="16"/>
      <c r="X60" s="49"/>
      <c r="Y60" s="21"/>
      <c r="Z60" s="22"/>
    </row>
    <row r="61" spans="1:26" s="33" customFormat="1" ht="12" customHeight="1" hidden="1">
      <c r="A61" s="3"/>
      <c r="B61" s="4" t="s">
        <v>38</v>
      </c>
      <c r="C61" s="40" t="s">
        <v>43</v>
      </c>
      <c r="D61" s="220"/>
      <c r="E61" s="224">
        <f>E109/(E60+1E-102)*1000</f>
        <v>0</v>
      </c>
      <c r="F61" s="220"/>
      <c r="G61" s="224">
        <f>G109/(G60+1E-102)*1000</f>
        <v>0</v>
      </c>
      <c r="H61" s="235"/>
      <c r="I61" s="220"/>
      <c r="J61" s="235"/>
      <c r="K61" s="214"/>
      <c r="L61" s="337">
        <f>K61/(I61+1E-133)*100-100</f>
        <v>-100</v>
      </c>
      <c r="M61" s="214" t="e">
        <f t="shared" si="7"/>
        <v>#DIV/0!</v>
      </c>
      <c r="N61" s="223" t="e">
        <f t="shared" si="2"/>
        <v>#DIV/0!</v>
      </c>
      <c r="O61" s="227" t="e">
        <f t="shared" si="14"/>
        <v>#DIV/0!</v>
      </c>
      <c r="P61" s="226"/>
      <c r="Q61" s="25"/>
      <c r="R61" s="7">
        <f>Q61/(F61+1E-106)*100-100</f>
        <v>-100</v>
      </c>
      <c r="S61" s="25"/>
      <c r="T61" s="7">
        <f t="shared" si="8"/>
        <v>-100</v>
      </c>
      <c r="U61" s="7">
        <f>S61/(F61+1E-106)*100-100</f>
        <v>-100</v>
      </c>
      <c r="V61" s="7">
        <f>S61-K61</f>
        <v>0</v>
      </c>
      <c r="W61" s="9"/>
      <c r="X61" s="50"/>
      <c r="Z61" s="34"/>
    </row>
    <row r="62" spans="1:26" ht="12" customHeight="1" hidden="1">
      <c r="A62" s="12"/>
      <c r="B62" s="35" t="s">
        <v>40</v>
      </c>
      <c r="C62" s="40" t="s">
        <v>43</v>
      </c>
      <c r="D62" s="141"/>
      <c r="E62" s="229"/>
      <c r="F62" s="141"/>
      <c r="G62" s="229"/>
      <c r="H62" s="230"/>
      <c r="I62" s="220"/>
      <c r="J62" s="230"/>
      <c r="K62" s="214"/>
      <c r="L62" s="337">
        <f>K62/(I62+1E-133)*100-100</f>
        <v>-100</v>
      </c>
      <c r="M62" s="214" t="e">
        <f t="shared" si="7"/>
        <v>#DIV/0!</v>
      </c>
      <c r="N62" s="223" t="e">
        <f t="shared" si="2"/>
        <v>#DIV/0!</v>
      </c>
      <c r="O62" s="223" t="e">
        <f t="shared" si="14"/>
        <v>#DIV/0!</v>
      </c>
      <c r="P62" s="217"/>
      <c r="Q62" s="28"/>
      <c r="R62" s="29">
        <f>Q62/(F62+1E-106)*100-100</f>
        <v>-100</v>
      </c>
      <c r="S62" s="28"/>
      <c r="T62" s="29">
        <f t="shared" si="8"/>
        <v>-100</v>
      </c>
      <c r="U62" s="29">
        <f>S62/(F62+1E-106)*100-100</f>
        <v>-100</v>
      </c>
      <c r="V62" s="29">
        <f>S62-K62</f>
        <v>0</v>
      </c>
      <c r="W62" s="16"/>
      <c r="X62" s="49"/>
      <c r="Y62" s="21"/>
      <c r="Z62" s="22"/>
    </row>
    <row r="63" spans="1:26" ht="12" customHeight="1" hidden="1">
      <c r="A63" s="310" t="s">
        <v>31</v>
      </c>
      <c r="B63" s="4" t="s">
        <v>48</v>
      </c>
      <c r="C63" s="40"/>
      <c r="D63" s="219"/>
      <c r="E63" s="214"/>
      <c r="F63" s="219"/>
      <c r="G63" s="214"/>
      <c r="H63" s="224"/>
      <c r="I63" s="216"/>
      <c r="J63" s="224"/>
      <c r="K63" s="214"/>
      <c r="L63" s="337"/>
      <c r="M63" s="214" t="e">
        <f t="shared" si="7"/>
        <v>#DIV/0!</v>
      </c>
      <c r="N63" s="223"/>
      <c r="O63" s="223"/>
      <c r="P63" s="223"/>
      <c r="Q63" s="28"/>
      <c r="R63" s="29"/>
      <c r="S63" s="28"/>
      <c r="T63" s="29"/>
      <c r="U63" s="29"/>
      <c r="V63" s="29"/>
      <c r="W63" s="16"/>
      <c r="X63" s="49"/>
      <c r="Y63" s="21"/>
      <c r="Z63" s="22"/>
    </row>
    <row r="64" spans="1:26" ht="12" customHeight="1" hidden="1">
      <c r="A64" s="12"/>
      <c r="B64" s="27" t="s">
        <v>33</v>
      </c>
      <c r="C64" s="40" t="s">
        <v>34</v>
      </c>
      <c r="D64" s="141"/>
      <c r="E64" s="214">
        <f>E66*1000*E65/(E15+1E-98)</f>
        <v>0</v>
      </c>
      <c r="F64" s="141"/>
      <c r="G64" s="214">
        <f>G66*1000*G65/(G15+1E-98)</f>
        <v>0</v>
      </c>
      <c r="H64" s="230"/>
      <c r="I64" s="220"/>
      <c r="J64" s="230"/>
      <c r="K64" s="214"/>
      <c r="L64" s="337">
        <f>K64/(I64+1E-133)*100-100</f>
        <v>-100</v>
      </c>
      <c r="M64" s="214" t="e">
        <f t="shared" si="7"/>
        <v>#DIV/0!</v>
      </c>
      <c r="N64" s="223" t="e">
        <f t="shared" si="2"/>
        <v>#DIV/0!</v>
      </c>
      <c r="O64" s="223" t="e">
        <f t="shared" si="14"/>
        <v>#DIV/0!</v>
      </c>
      <c r="P64" s="217"/>
      <c r="Q64" s="28"/>
      <c r="R64" s="29">
        <f>Q64/(F64+1E-106)*100-100</f>
        <v>-100</v>
      </c>
      <c r="S64" s="28"/>
      <c r="T64" s="29">
        <f t="shared" si="8"/>
        <v>-100</v>
      </c>
      <c r="U64" s="29">
        <f>S64/(F64+1E-106)*100-100</f>
        <v>-100</v>
      </c>
      <c r="V64" s="29">
        <f aca="true" t="shared" si="15" ref="V64:V97">S64-K64</f>
        <v>0</v>
      </c>
      <c r="W64" s="16"/>
      <c r="X64" s="49"/>
      <c r="Y64" s="21"/>
      <c r="Z64" s="22"/>
    </row>
    <row r="65" spans="1:26" ht="12" customHeight="1" hidden="1">
      <c r="A65" s="12"/>
      <c r="B65" s="27" t="s">
        <v>35</v>
      </c>
      <c r="C65" s="40"/>
      <c r="D65" s="141"/>
      <c r="E65" s="229"/>
      <c r="F65" s="141"/>
      <c r="G65" s="229"/>
      <c r="H65" s="230"/>
      <c r="I65" s="220"/>
      <c r="J65" s="230"/>
      <c r="K65" s="214"/>
      <c r="L65" s="337">
        <f>K65/(I65+1E-133)*100-100</f>
        <v>-100</v>
      </c>
      <c r="M65" s="214" t="e">
        <f t="shared" si="7"/>
        <v>#DIV/0!</v>
      </c>
      <c r="N65" s="223" t="e">
        <f t="shared" si="2"/>
        <v>#DIV/0!</v>
      </c>
      <c r="O65" s="223" t="e">
        <f t="shared" si="14"/>
        <v>#DIV/0!</v>
      </c>
      <c r="P65" s="217"/>
      <c r="Q65" s="28"/>
      <c r="R65" s="29"/>
      <c r="S65" s="28"/>
      <c r="T65" s="29">
        <f t="shared" si="8"/>
        <v>-100</v>
      </c>
      <c r="U65" s="29">
        <f>S65/(F65+1E-106)*100-100</f>
        <v>-100</v>
      </c>
      <c r="V65" s="29">
        <f t="shared" si="15"/>
        <v>0</v>
      </c>
      <c r="W65" s="16"/>
      <c r="X65" s="49"/>
      <c r="Y65" s="21"/>
      <c r="Z65" s="22"/>
    </row>
    <row r="66" spans="1:26" ht="12" customHeight="1" hidden="1">
      <c r="A66" s="12"/>
      <c r="B66" s="13" t="s">
        <v>36</v>
      </c>
      <c r="C66" s="40" t="s">
        <v>42</v>
      </c>
      <c r="D66" s="219">
        <f>D64/(D65+1E-97)*D15/1000</f>
        <v>0</v>
      </c>
      <c r="E66" s="229"/>
      <c r="F66" s="219">
        <f>F64/(F65+1E-97)*F15/1000</f>
        <v>0</v>
      </c>
      <c r="G66" s="229"/>
      <c r="H66" s="235"/>
      <c r="I66" s="216">
        <f>I64/(I65+1E-97)*I15/1000</f>
        <v>0</v>
      </c>
      <c r="J66" s="235"/>
      <c r="K66" s="214"/>
      <c r="L66" s="337">
        <f>K66/(I66+1E-133)*100-100</f>
        <v>-100</v>
      </c>
      <c r="M66" s="214" t="e">
        <f t="shared" si="7"/>
        <v>#DIV/0!</v>
      </c>
      <c r="N66" s="223" t="e">
        <f t="shared" si="2"/>
        <v>#DIV/0!</v>
      </c>
      <c r="O66" s="223" t="e">
        <f t="shared" si="14"/>
        <v>#DIV/0!</v>
      </c>
      <c r="P66" s="223"/>
      <c r="Q66" s="28">
        <f>Q64/(Q65+1E-97)*Q15/1000</f>
        <v>0</v>
      </c>
      <c r="R66" s="29">
        <f>Q66/(F66+1E-106)*100-100</f>
        <v>-100</v>
      </c>
      <c r="S66" s="28">
        <f>S64/(S65+1E-97)*S15/1000</f>
        <v>0</v>
      </c>
      <c r="T66" s="29">
        <f t="shared" si="8"/>
        <v>-100</v>
      </c>
      <c r="U66" s="29">
        <f>S66/(F66+1E-106)*100-100</f>
        <v>-100</v>
      </c>
      <c r="V66" s="29">
        <f t="shared" si="15"/>
        <v>0</v>
      </c>
      <c r="W66" s="16"/>
      <c r="X66" s="49"/>
      <c r="Y66" s="21"/>
      <c r="Z66" s="22"/>
    </row>
    <row r="67" spans="1:26" s="33" customFormat="1" ht="12" customHeight="1" hidden="1">
      <c r="A67" s="3"/>
      <c r="B67" s="4" t="s">
        <v>38</v>
      </c>
      <c r="C67" s="40" t="s">
        <v>43</v>
      </c>
      <c r="D67" s="220"/>
      <c r="E67" s="224">
        <f>E110/(E66+1E-102)*1000</f>
        <v>0</v>
      </c>
      <c r="F67" s="220"/>
      <c r="G67" s="224">
        <f>G110/(G66+1E-102)*1000</f>
        <v>0</v>
      </c>
      <c r="H67" s="235"/>
      <c r="I67" s="220"/>
      <c r="J67" s="235"/>
      <c r="K67" s="214"/>
      <c r="L67" s="337">
        <f>K67/(I67+1E-133)*100-100</f>
        <v>-100</v>
      </c>
      <c r="M67" s="214" t="e">
        <f t="shared" si="7"/>
        <v>#DIV/0!</v>
      </c>
      <c r="N67" s="223" t="e">
        <f t="shared" si="2"/>
        <v>#DIV/0!</v>
      </c>
      <c r="O67" s="227" t="e">
        <f t="shared" si="14"/>
        <v>#DIV/0!</v>
      </c>
      <c r="P67" s="226"/>
      <c r="Q67" s="25"/>
      <c r="R67" s="7">
        <f>Q67/(F67+1E-106)*100-100</f>
        <v>-100</v>
      </c>
      <c r="S67" s="25"/>
      <c r="T67" s="7">
        <f t="shared" si="8"/>
        <v>-100</v>
      </c>
      <c r="U67" s="7">
        <f>S67/(F67+1E-106)*100-100</f>
        <v>-100</v>
      </c>
      <c r="V67" s="7">
        <f t="shared" si="15"/>
        <v>0</v>
      </c>
      <c r="W67" s="9"/>
      <c r="X67" s="50"/>
      <c r="Z67" s="34"/>
    </row>
    <row r="68" spans="1:26" ht="12" customHeight="1" hidden="1">
      <c r="A68" s="12"/>
      <c r="B68" s="35" t="s">
        <v>40</v>
      </c>
      <c r="C68" s="40" t="s">
        <v>43</v>
      </c>
      <c r="D68" s="141"/>
      <c r="E68" s="229"/>
      <c r="F68" s="141"/>
      <c r="G68" s="229"/>
      <c r="H68" s="230"/>
      <c r="I68" s="220"/>
      <c r="J68" s="230"/>
      <c r="K68" s="214"/>
      <c r="L68" s="337">
        <f>K68/(I68+1E-133)*100-100</f>
        <v>-100</v>
      </c>
      <c r="M68" s="214" t="e">
        <f t="shared" si="7"/>
        <v>#DIV/0!</v>
      </c>
      <c r="N68" s="223" t="e">
        <f t="shared" si="2"/>
        <v>#DIV/0!</v>
      </c>
      <c r="O68" s="223" t="e">
        <f t="shared" si="14"/>
        <v>#DIV/0!</v>
      </c>
      <c r="P68" s="217"/>
      <c r="Q68" s="28"/>
      <c r="R68" s="29">
        <f>Q68/(F68+1E-106)*100-100</f>
        <v>-100</v>
      </c>
      <c r="S68" s="28"/>
      <c r="T68" s="29">
        <f t="shared" si="8"/>
        <v>-100</v>
      </c>
      <c r="U68" s="29">
        <f>S68/(F68+1E-106)*100-100</f>
        <v>-100</v>
      </c>
      <c r="V68" s="29">
        <f t="shared" si="15"/>
        <v>0</v>
      </c>
      <c r="W68" s="16"/>
      <c r="X68" s="49"/>
      <c r="Y68" s="21"/>
      <c r="Z68" s="22"/>
    </row>
    <row r="69" spans="1:26" ht="12" customHeight="1">
      <c r="A69" s="311">
        <v>8</v>
      </c>
      <c r="B69" s="52" t="s">
        <v>49</v>
      </c>
      <c r="C69" s="165"/>
      <c r="D69" s="216"/>
      <c r="E69" s="216"/>
      <c r="F69" s="216"/>
      <c r="G69" s="216"/>
      <c r="H69" s="216"/>
      <c r="I69" s="216"/>
      <c r="J69" s="216"/>
      <c r="K69" s="336"/>
      <c r="L69" s="337"/>
      <c r="M69" s="336"/>
      <c r="N69" s="216"/>
      <c r="O69" s="216"/>
      <c r="P69" s="216"/>
      <c r="Q69" s="164"/>
      <c r="R69" s="164"/>
      <c r="S69" s="164"/>
      <c r="T69" s="164"/>
      <c r="U69" s="164"/>
      <c r="V69" s="164">
        <f t="shared" si="15"/>
        <v>0</v>
      </c>
      <c r="W69" s="55"/>
      <c r="X69" s="49"/>
      <c r="Y69" s="21"/>
      <c r="Z69" s="22"/>
    </row>
    <row r="70" spans="1:26" ht="12" customHeight="1">
      <c r="A70" s="3" t="s">
        <v>31</v>
      </c>
      <c r="B70" s="13" t="s">
        <v>50</v>
      </c>
      <c r="C70" s="40"/>
      <c r="D70" s="219">
        <f>D71*1000/(D8+1E-113)</f>
        <v>0</v>
      </c>
      <c r="E70" s="214">
        <f>E71*1000/(E8+1E-113)</f>
        <v>0</v>
      </c>
      <c r="F70" s="219">
        <f>F71*1000/(F8+1E-113)</f>
        <v>0</v>
      </c>
      <c r="G70" s="214">
        <f>G71*1000/(G8+1E-113)</f>
        <v>0</v>
      </c>
      <c r="H70" s="214">
        <f>H71/H8*1000</f>
        <v>17.684887459807076</v>
      </c>
      <c r="I70" s="216">
        <f>I71/I8*1000</f>
        <v>15.220749928467077</v>
      </c>
      <c r="J70" s="214">
        <f>J71/J8*1000</f>
        <v>19.807073954983924</v>
      </c>
      <c r="K70" s="214">
        <f>J70/H70*100-100</f>
        <v>11.999999999999986</v>
      </c>
      <c r="L70" s="216">
        <f>L71/L8*1000</f>
        <v>15.220749928467077</v>
      </c>
      <c r="M70" s="214">
        <f t="shared" si="7"/>
        <v>0</v>
      </c>
      <c r="N70" s="223">
        <f t="shared" si="2"/>
        <v>-100</v>
      </c>
      <c r="O70" s="223">
        <f t="shared" si="14"/>
        <v>-11.999999999999986</v>
      </c>
      <c r="P70" s="223"/>
      <c r="Q70" s="28" t="e">
        <f>Q71*1000/(Q8+1E-113)</f>
        <v>#REF!</v>
      </c>
      <c r="R70" s="29" t="e">
        <f>Q70/(F70+1E-106)*100-100</f>
        <v>#REF!</v>
      </c>
      <c r="S70" s="28" t="e">
        <f>S71*1000/(S8+1E-113)</f>
        <v>#REF!</v>
      </c>
      <c r="T70" s="29" t="e">
        <f t="shared" si="8"/>
        <v>#REF!</v>
      </c>
      <c r="U70" s="29" t="e">
        <f aca="true" t="shared" si="16" ref="U70:U96">S70/(F70+1E-106)*100-100</f>
        <v>#REF!</v>
      </c>
      <c r="V70" s="29" t="e">
        <f t="shared" si="15"/>
        <v>#REF!</v>
      </c>
      <c r="W70" s="16"/>
      <c r="X70" s="49"/>
      <c r="Y70" s="21"/>
      <c r="Z70" s="22"/>
    </row>
    <row r="71" spans="1:26" s="33" customFormat="1" ht="12" customHeight="1">
      <c r="A71" s="3" t="s">
        <v>31</v>
      </c>
      <c r="B71" s="4" t="s">
        <v>170</v>
      </c>
      <c r="C71" s="40" t="s">
        <v>51</v>
      </c>
      <c r="D71" s="216">
        <f aca="true" t="shared" si="17" ref="D71:I71">D74+D80+D86+D92</f>
        <v>0</v>
      </c>
      <c r="E71" s="224">
        <f t="shared" si="17"/>
        <v>0</v>
      </c>
      <c r="F71" s="216">
        <f t="shared" si="17"/>
        <v>0</v>
      </c>
      <c r="G71" s="224">
        <f t="shared" si="17"/>
        <v>0</v>
      </c>
      <c r="H71" s="235">
        <v>3.3</v>
      </c>
      <c r="I71" s="216">
        <f t="shared" si="17"/>
        <v>2.8</v>
      </c>
      <c r="J71" s="235">
        <f>H71*1.12</f>
        <v>3.696</v>
      </c>
      <c r="K71" s="214">
        <f>J71/H71*100-100</f>
        <v>12.000000000000014</v>
      </c>
      <c r="L71" s="337">
        <f>I71</f>
        <v>2.8</v>
      </c>
      <c r="M71" s="214">
        <f t="shared" si="7"/>
        <v>0</v>
      </c>
      <c r="N71" s="223">
        <f t="shared" si="2"/>
        <v>-100</v>
      </c>
      <c r="O71" s="227">
        <f t="shared" si="14"/>
        <v>-12.000000000000014</v>
      </c>
      <c r="P71" s="227"/>
      <c r="Q71" s="25" t="e">
        <f>#REF!+#REF!+#REF!+#REF!</f>
        <v>#REF!</v>
      </c>
      <c r="R71" s="7" t="e">
        <f>Q71/(F71+1E-106)*100-100</f>
        <v>#REF!</v>
      </c>
      <c r="S71" s="25" t="e">
        <f>#REF!+#REF!+#REF!+#REF!</f>
        <v>#REF!</v>
      </c>
      <c r="T71" s="7" t="e">
        <f t="shared" si="8"/>
        <v>#REF!</v>
      </c>
      <c r="U71" s="7" t="e">
        <f t="shared" si="16"/>
        <v>#REF!</v>
      </c>
      <c r="V71" s="7" t="e">
        <f t="shared" si="15"/>
        <v>#REF!</v>
      </c>
      <c r="W71" s="8"/>
      <c r="X71" s="50"/>
      <c r="Z71" s="34"/>
    </row>
    <row r="72" spans="1:26" ht="12" customHeight="1">
      <c r="A72" s="3"/>
      <c r="B72" s="4" t="s">
        <v>57</v>
      </c>
      <c r="C72" s="40"/>
      <c r="D72" s="141"/>
      <c r="E72" s="229"/>
      <c r="F72" s="141"/>
      <c r="G72" s="229"/>
      <c r="H72" s="230"/>
      <c r="I72" s="220"/>
      <c r="J72" s="230"/>
      <c r="K72" s="214"/>
      <c r="L72" s="337"/>
      <c r="M72" s="214"/>
      <c r="N72" s="223">
        <f>M72/(I72+1E-106)*100-100</f>
        <v>-100</v>
      </c>
      <c r="O72" s="223"/>
      <c r="P72" s="217"/>
      <c r="Q72" s="255"/>
      <c r="R72" s="256"/>
      <c r="S72" s="255"/>
      <c r="T72" s="256">
        <f t="shared" si="8"/>
        <v>-100</v>
      </c>
      <c r="U72" s="256">
        <f t="shared" si="16"/>
        <v>-100</v>
      </c>
      <c r="V72" s="250">
        <f t="shared" si="15"/>
        <v>0</v>
      </c>
      <c r="W72" s="256"/>
      <c r="X72" s="49"/>
      <c r="Y72" s="21"/>
      <c r="Z72" s="22"/>
    </row>
    <row r="73" spans="1:26" ht="12" customHeight="1">
      <c r="A73" s="310" t="s">
        <v>31</v>
      </c>
      <c r="B73" s="4" t="s">
        <v>52</v>
      </c>
      <c r="C73" s="40"/>
      <c r="D73" s="219"/>
      <c r="E73" s="214"/>
      <c r="F73" s="219"/>
      <c r="G73" s="214"/>
      <c r="H73" s="224"/>
      <c r="I73" s="216"/>
      <c r="J73" s="224"/>
      <c r="K73" s="214"/>
      <c r="L73" s="337"/>
      <c r="M73" s="214"/>
      <c r="N73" s="223"/>
      <c r="O73" s="223"/>
      <c r="P73" s="217"/>
      <c r="Q73" s="257"/>
      <c r="R73" s="250"/>
      <c r="S73" s="257"/>
      <c r="T73" s="256">
        <f aca="true" t="shared" si="18" ref="T73:T127">S73/(Q73+1E-106)*100-100</f>
        <v>-100</v>
      </c>
      <c r="U73" s="256">
        <f t="shared" si="16"/>
        <v>-100</v>
      </c>
      <c r="V73" s="250">
        <f t="shared" si="15"/>
        <v>0</v>
      </c>
      <c r="W73" s="250"/>
      <c r="X73" s="49"/>
      <c r="Y73" s="21"/>
      <c r="Z73" s="22"/>
    </row>
    <row r="74" spans="1:26" ht="12" customHeight="1">
      <c r="A74" s="12"/>
      <c r="B74" s="13" t="s">
        <v>58</v>
      </c>
      <c r="C74" s="40" t="s">
        <v>51</v>
      </c>
      <c r="D74" s="141"/>
      <c r="E74" s="229"/>
      <c r="F74" s="141"/>
      <c r="G74" s="229"/>
      <c r="H74" s="230">
        <v>3.3</v>
      </c>
      <c r="I74" s="220">
        <v>2.8</v>
      </c>
      <c r="J74" s="230">
        <v>3.3</v>
      </c>
      <c r="K74" s="214">
        <f aca="true" t="shared" si="19" ref="K74:K133">J74/H74*100-100</f>
        <v>0</v>
      </c>
      <c r="L74" s="337">
        <f>I74</f>
        <v>2.8</v>
      </c>
      <c r="M74" s="214">
        <f aca="true" t="shared" si="20" ref="M74:M133">L74/I74*100-100</f>
        <v>0</v>
      </c>
      <c r="N74" s="223">
        <f aca="true" t="shared" si="21" ref="N74:N127">M74/(I74+1E-106)*100-100</f>
        <v>-100</v>
      </c>
      <c r="O74" s="223">
        <f>M74-K74</f>
        <v>0</v>
      </c>
      <c r="P74" s="217"/>
      <c r="Q74" s="257"/>
      <c r="R74" s="250">
        <f>Q74/(F74+1E-106)*100-100</f>
        <v>-100</v>
      </c>
      <c r="S74" s="257"/>
      <c r="T74" s="256">
        <f t="shared" si="18"/>
        <v>-100</v>
      </c>
      <c r="U74" s="256">
        <f t="shared" si="16"/>
        <v>-100</v>
      </c>
      <c r="V74" s="250">
        <f t="shared" si="15"/>
        <v>0</v>
      </c>
      <c r="W74" s="250"/>
      <c r="X74" s="49"/>
      <c r="Y74" s="21"/>
      <c r="Z74" s="22"/>
    </row>
    <row r="75" spans="1:26" s="33" customFormat="1" ht="12" customHeight="1">
      <c r="A75" s="3"/>
      <c r="B75" s="4" t="s">
        <v>59</v>
      </c>
      <c r="C75" s="40" t="s">
        <v>60</v>
      </c>
      <c r="D75" s="220"/>
      <c r="E75" s="227">
        <f>(E112-E77*12*E78)/(E74+1E-107)</f>
        <v>0</v>
      </c>
      <c r="F75" s="220"/>
      <c r="G75" s="227">
        <f>(G112-G77*12*G78)/(G74+1E-107)</f>
        <v>0</v>
      </c>
      <c r="H75" s="235">
        <v>4.53</v>
      </c>
      <c r="I75" s="220">
        <f>1.18*3.19538</f>
        <v>3.7705484</v>
      </c>
      <c r="J75" s="235">
        <f>1.12*4.53</f>
        <v>5.073600000000001</v>
      </c>
      <c r="K75" s="214">
        <f t="shared" si="19"/>
        <v>12.000000000000014</v>
      </c>
      <c r="L75" s="337">
        <f>I75*1.12</f>
        <v>4.223014208</v>
      </c>
      <c r="M75" s="214">
        <f t="shared" si="20"/>
        <v>12.000000000000014</v>
      </c>
      <c r="N75" s="223">
        <f t="shared" si="21"/>
        <v>218.25609240289856</v>
      </c>
      <c r="O75" s="227">
        <f>M75-K75</f>
        <v>0</v>
      </c>
      <c r="P75" s="227"/>
      <c r="Q75" s="25"/>
      <c r="R75" s="7">
        <f>Q75/(F75+1E-106)*100-100</f>
        <v>-100</v>
      </c>
      <c r="S75" s="25"/>
      <c r="T75" s="8">
        <f t="shared" si="18"/>
        <v>-100</v>
      </c>
      <c r="U75" s="8">
        <f t="shared" si="16"/>
        <v>-100</v>
      </c>
      <c r="V75" s="9">
        <f t="shared" si="15"/>
        <v>-12.000000000000014</v>
      </c>
      <c r="W75" s="7"/>
      <c r="X75" s="50"/>
      <c r="Z75" s="34"/>
    </row>
    <row r="76" spans="1:26" ht="12" customHeight="1" hidden="1">
      <c r="A76" s="12"/>
      <c r="B76" s="13" t="s">
        <v>61</v>
      </c>
      <c r="C76" s="40" t="s">
        <v>62</v>
      </c>
      <c r="D76" s="141"/>
      <c r="E76" s="229"/>
      <c r="F76" s="141"/>
      <c r="G76" s="229"/>
      <c r="H76" s="230"/>
      <c r="I76" s="220"/>
      <c r="J76" s="230"/>
      <c r="K76" s="214" t="e">
        <f t="shared" si="19"/>
        <v>#DIV/0!</v>
      </c>
      <c r="L76" s="337" t="e">
        <f>K76/(I76+1E-133)*100-100</f>
        <v>#DIV/0!</v>
      </c>
      <c r="M76" s="214" t="e">
        <f t="shared" si="20"/>
        <v>#DIV/0!</v>
      </c>
      <c r="N76" s="223" t="e">
        <f t="shared" si="21"/>
        <v>#DIV/0!</v>
      </c>
      <c r="O76" s="223"/>
      <c r="P76" s="217"/>
      <c r="Q76" s="257"/>
      <c r="R76" s="250"/>
      <c r="S76" s="257"/>
      <c r="T76" s="256">
        <f t="shared" si="18"/>
        <v>-100</v>
      </c>
      <c r="U76" s="256">
        <f t="shared" si="16"/>
        <v>-100</v>
      </c>
      <c r="V76" s="250" t="e">
        <f t="shared" si="15"/>
        <v>#DIV/0!</v>
      </c>
      <c r="W76" s="250"/>
      <c r="X76" s="49"/>
      <c r="Y76" s="21"/>
      <c r="Z76" s="22"/>
    </row>
    <row r="77" spans="1:26" ht="12" customHeight="1" hidden="1">
      <c r="A77" s="12"/>
      <c r="B77" s="13" t="s">
        <v>63</v>
      </c>
      <c r="C77" s="40" t="s">
        <v>64</v>
      </c>
      <c r="D77" s="141"/>
      <c r="E77" s="229"/>
      <c r="F77" s="141"/>
      <c r="G77" s="229"/>
      <c r="H77" s="230"/>
      <c r="I77" s="220"/>
      <c r="J77" s="230"/>
      <c r="K77" s="214" t="e">
        <f t="shared" si="19"/>
        <v>#DIV/0!</v>
      </c>
      <c r="L77" s="337" t="e">
        <f>K77/(I77+1E-133)*100-100</f>
        <v>#DIV/0!</v>
      </c>
      <c r="M77" s="214" t="e">
        <f t="shared" si="20"/>
        <v>#DIV/0!</v>
      </c>
      <c r="N77" s="223" t="e">
        <f t="shared" si="21"/>
        <v>#DIV/0!</v>
      </c>
      <c r="O77" s="223" t="e">
        <f aca="true" t="shared" si="22" ref="O77:O100">M77-K77</f>
        <v>#DIV/0!</v>
      </c>
      <c r="P77" s="217"/>
      <c r="Q77" s="257"/>
      <c r="R77" s="250">
        <f>Q77/(F77+1E-106)*100-100</f>
        <v>-100</v>
      </c>
      <c r="S77" s="257"/>
      <c r="T77" s="256">
        <f t="shared" si="18"/>
        <v>-100</v>
      </c>
      <c r="U77" s="256">
        <f t="shared" si="16"/>
        <v>-100</v>
      </c>
      <c r="V77" s="250" t="e">
        <f t="shared" si="15"/>
        <v>#DIV/0!</v>
      </c>
      <c r="W77" s="250"/>
      <c r="X77" s="49"/>
      <c r="Y77" s="21"/>
      <c r="Z77" s="22"/>
    </row>
    <row r="78" spans="1:26" ht="12" customHeight="1" hidden="1">
      <c r="A78" s="12"/>
      <c r="B78" s="13" t="s">
        <v>66</v>
      </c>
      <c r="C78" s="40" t="s">
        <v>67</v>
      </c>
      <c r="D78" s="141"/>
      <c r="E78" s="229"/>
      <c r="F78" s="141"/>
      <c r="G78" s="229"/>
      <c r="H78" s="230"/>
      <c r="I78" s="220"/>
      <c r="J78" s="230"/>
      <c r="K78" s="214" t="e">
        <f t="shared" si="19"/>
        <v>#DIV/0!</v>
      </c>
      <c r="L78" s="337" t="e">
        <f>K78/(I78+1E-133)*100-100</f>
        <v>#DIV/0!</v>
      </c>
      <c r="M78" s="214" t="e">
        <f t="shared" si="20"/>
        <v>#DIV/0!</v>
      </c>
      <c r="N78" s="223" t="e">
        <f t="shared" si="21"/>
        <v>#DIV/0!</v>
      </c>
      <c r="O78" s="223" t="e">
        <f t="shared" si="22"/>
        <v>#DIV/0!</v>
      </c>
      <c r="P78" s="217"/>
      <c r="Q78" s="257"/>
      <c r="R78" s="250">
        <f>Q78/(F78+1E-106)*100-100</f>
        <v>-100</v>
      </c>
      <c r="S78" s="257"/>
      <c r="T78" s="256">
        <f t="shared" si="18"/>
        <v>-100</v>
      </c>
      <c r="U78" s="256">
        <f t="shared" si="16"/>
        <v>-100</v>
      </c>
      <c r="V78" s="250" t="e">
        <f t="shared" si="15"/>
        <v>#DIV/0!</v>
      </c>
      <c r="W78" s="250"/>
      <c r="X78" s="49"/>
      <c r="Y78" s="21"/>
      <c r="Z78" s="22"/>
    </row>
    <row r="79" spans="1:26" ht="12" customHeight="1" hidden="1">
      <c r="A79" s="310" t="s">
        <v>31</v>
      </c>
      <c r="B79" s="4" t="s">
        <v>54</v>
      </c>
      <c r="C79" s="40"/>
      <c r="D79" s="219"/>
      <c r="E79" s="214"/>
      <c r="F79" s="219"/>
      <c r="G79" s="214"/>
      <c r="H79" s="224"/>
      <c r="I79" s="216"/>
      <c r="J79" s="224"/>
      <c r="K79" s="214" t="e">
        <f t="shared" si="19"/>
        <v>#DIV/0!</v>
      </c>
      <c r="L79" s="337"/>
      <c r="M79" s="214" t="e">
        <f t="shared" si="20"/>
        <v>#DIV/0!</v>
      </c>
      <c r="N79" s="223"/>
      <c r="O79" s="223"/>
      <c r="P79" s="223"/>
      <c r="Q79" s="257"/>
      <c r="R79" s="250"/>
      <c r="S79" s="257"/>
      <c r="T79" s="256">
        <f t="shared" si="18"/>
        <v>-100</v>
      </c>
      <c r="U79" s="256">
        <f t="shared" si="16"/>
        <v>-100</v>
      </c>
      <c r="V79" s="250" t="e">
        <f t="shared" si="15"/>
        <v>#DIV/0!</v>
      </c>
      <c r="W79" s="250"/>
      <c r="X79" s="49"/>
      <c r="Y79" s="21"/>
      <c r="Z79" s="22"/>
    </row>
    <row r="80" spans="1:26" ht="12" customHeight="1" hidden="1">
      <c r="A80" s="12"/>
      <c r="B80" s="13" t="s">
        <v>58</v>
      </c>
      <c r="C80" s="40" t="s">
        <v>51</v>
      </c>
      <c r="D80" s="141"/>
      <c r="E80" s="229"/>
      <c r="F80" s="141"/>
      <c r="G80" s="229"/>
      <c r="H80" s="230"/>
      <c r="I80" s="220"/>
      <c r="J80" s="230"/>
      <c r="K80" s="214" t="e">
        <f t="shared" si="19"/>
        <v>#DIV/0!</v>
      </c>
      <c r="L80" s="337" t="e">
        <f>K80/(I80+1E-133)*100-100</f>
        <v>#DIV/0!</v>
      </c>
      <c r="M80" s="214" t="e">
        <f t="shared" si="20"/>
        <v>#DIV/0!</v>
      </c>
      <c r="N80" s="223" t="e">
        <f t="shared" si="21"/>
        <v>#DIV/0!</v>
      </c>
      <c r="O80" s="223" t="e">
        <f t="shared" si="22"/>
        <v>#DIV/0!</v>
      </c>
      <c r="P80" s="217"/>
      <c r="Q80" s="257"/>
      <c r="R80" s="250">
        <f>Q80/(F80+1E-106)*100-100</f>
        <v>-100</v>
      </c>
      <c r="S80" s="257"/>
      <c r="T80" s="256">
        <f t="shared" si="18"/>
        <v>-100</v>
      </c>
      <c r="U80" s="256">
        <f t="shared" si="16"/>
        <v>-100</v>
      </c>
      <c r="V80" s="250" t="e">
        <f t="shared" si="15"/>
        <v>#DIV/0!</v>
      </c>
      <c r="W80" s="250"/>
      <c r="X80" s="49"/>
      <c r="Y80" s="21"/>
      <c r="Z80" s="22"/>
    </row>
    <row r="81" spans="1:26" s="33" customFormat="1" ht="12" customHeight="1" hidden="1">
      <c r="A81" s="3"/>
      <c r="B81" s="4" t="s">
        <v>59</v>
      </c>
      <c r="C81" s="40" t="s">
        <v>60</v>
      </c>
      <c r="D81" s="220"/>
      <c r="E81" s="227">
        <f>(E113-E83*12*E84)/(E80+1E-107)</f>
        <v>0</v>
      </c>
      <c r="F81" s="220"/>
      <c r="G81" s="227">
        <f>(G113-G83*12*G84)/(G80+1E-107)</f>
        <v>0</v>
      </c>
      <c r="H81" s="235"/>
      <c r="I81" s="220"/>
      <c r="J81" s="235"/>
      <c r="K81" s="214" t="e">
        <f t="shared" si="19"/>
        <v>#DIV/0!</v>
      </c>
      <c r="L81" s="337" t="e">
        <f>K81/(I81+1E-133)*100-100</f>
        <v>#DIV/0!</v>
      </c>
      <c r="M81" s="214" t="e">
        <f t="shared" si="20"/>
        <v>#DIV/0!</v>
      </c>
      <c r="N81" s="223" t="e">
        <f t="shared" si="21"/>
        <v>#DIV/0!</v>
      </c>
      <c r="O81" s="227" t="e">
        <f t="shared" si="22"/>
        <v>#DIV/0!</v>
      </c>
      <c r="P81" s="227"/>
      <c r="Q81" s="25"/>
      <c r="R81" s="7">
        <f>Q81/(F81+1E-106)*100-100</f>
        <v>-100</v>
      </c>
      <c r="S81" s="25"/>
      <c r="T81" s="8">
        <f t="shared" si="18"/>
        <v>-100</v>
      </c>
      <c r="U81" s="8">
        <f t="shared" si="16"/>
        <v>-100</v>
      </c>
      <c r="V81" s="9" t="e">
        <f t="shared" si="15"/>
        <v>#DIV/0!</v>
      </c>
      <c r="W81" s="9"/>
      <c r="X81" s="50"/>
      <c r="Z81" s="34"/>
    </row>
    <row r="82" spans="1:26" ht="12" customHeight="1" hidden="1">
      <c r="A82" s="12"/>
      <c r="B82" s="13" t="s">
        <v>61</v>
      </c>
      <c r="C82" s="40" t="s">
        <v>62</v>
      </c>
      <c r="D82" s="141"/>
      <c r="E82" s="229"/>
      <c r="F82" s="141"/>
      <c r="G82" s="229"/>
      <c r="H82" s="230"/>
      <c r="I82" s="220"/>
      <c r="J82" s="230"/>
      <c r="K82" s="214" t="e">
        <f t="shared" si="19"/>
        <v>#DIV/0!</v>
      </c>
      <c r="L82" s="337" t="e">
        <f>K82/(I82+1E-133)*100-100</f>
        <v>#DIV/0!</v>
      </c>
      <c r="M82" s="214" t="e">
        <f t="shared" si="20"/>
        <v>#DIV/0!</v>
      </c>
      <c r="N82" s="223" t="e">
        <f t="shared" si="21"/>
        <v>#DIV/0!</v>
      </c>
      <c r="O82" s="223" t="e">
        <f t="shared" si="22"/>
        <v>#DIV/0!</v>
      </c>
      <c r="P82" s="217"/>
      <c r="Q82" s="257"/>
      <c r="R82" s="250"/>
      <c r="S82" s="257"/>
      <c r="T82" s="256">
        <f t="shared" si="18"/>
        <v>-100</v>
      </c>
      <c r="U82" s="256">
        <f t="shared" si="16"/>
        <v>-100</v>
      </c>
      <c r="V82" s="250" t="e">
        <f t="shared" si="15"/>
        <v>#DIV/0!</v>
      </c>
      <c r="W82" s="250"/>
      <c r="X82" s="49"/>
      <c r="Y82" s="21"/>
      <c r="Z82" s="22"/>
    </row>
    <row r="83" spans="1:26" ht="12" customHeight="1" hidden="1">
      <c r="A83" s="12"/>
      <c r="B83" s="13" t="s">
        <v>63</v>
      </c>
      <c r="C83" s="40" t="s">
        <v>64</v>
      </c>
      <c r="D83" s="141"/>
      <c r="E83" s="229"/>
      <c r="F83" s="141"/>
      <c r="G83" s="229"/>
      <c r="H83" s="230"/>
      <c r="I83" s="220"/>
      <c r="J83" s="230"/>
      <c r="K83" s="214" t="e">
        <f t="shared" si="19"/>
        <v>#DIV/0!</v>
      </c>
      <c r="L83" s="337" t="e">
        <f>K83/(I83+1E-133)*100-100</f>
        <v>#DIV/0!</v>
      </c>
      <c r="M83" s="214" t="e">
        <f t="shared" si="20"/>
        <v>#DIV/0!</v>
      </c>
      <c r="N83" s="223" t="e">
        <f t="shared" si="21"/>
        <v>#DIV/0!</v>
      </c>
      <c r="O83" s="223" t="e">
        <f t="shared" si="22"/>
        <v>#DIV/0!</v>
      </c>
      <c r="P83" s="217"/>
      <c r="Q83" s="257"/>
      <c r="R83" s="250">
        <f>Q83/(F83+1E-106)*100-100</f>
        <v>-100</v>
      </c>
      <c r="S83" s="257"/>
      <c r="T83" s="256">
        <f t="shared" si="18"/>
        <v>-100</v>
      </c>
      <c r="U83" s="256">
        <f t="shared" si="16"/>
        <v>-100</v>
      </c>
      <c r="V83" s="250" t="e">
        <f t="shared" si="15"/>
        <v>#DIV/0!</v>
      </c>
      <c r="W83" s="250"/>
      <c r="X83" s="49"/>
      <c r="Y83" s="21"/>
      <c r="Z83" s="22"/>
    </row>
    <row r="84" spans="1:26" ht="12" customHeight="1" hidden="1">
      <c r="A84" s="12"/>
      <c r="B84" s="13" t="s">
        <v>66</v>
      </c>
      <c r="C84" s="40" t="s">
        <v>67</v>
      </c>
      <c r="D84" s="141"/>
      <c r="E84" s="229"/>
      <c r="F84" s="141"/>
      <c r="G84" s="229"/>
      <c r="H84" s="230"/>
      <c r="I84" s="220"/>
      <c r="J84" s="230"/>
      <c r="K84" s="214" t="e">
        <f t="shared" si="19"/>
        <v>#DIV/0!</v>
      </c>
      <c r="L84" s="337" t="e">
        <f>K84/(I84+1E-133)*100-100</f>
        <v>#DIV/0!</v>
      </c>
      <c r="M84" s="214" t="e">
        <f t="shared" si="20"/>
        <v>#DIV/0!</v>
      </c>
      <c r="N84" s="223" t="e">
        <f t="shared" si="21"/>
        <v>#DIV/0!</v>
      </c>
      <c r="O84" s="223" t="e">
        <f t="shared" si="22"/>
        <v>#DIV/0!</v>
      </c>
      <c r="P84" s="217"/>
      <c r="Q84" s="257"/>
      <c r="R84" s="250">
        <f>Q84/(F84+1E-106)*100-100</f>
        <v>-100</v>
      </c>
      <c r="S84" s="257"/>
      <c r="T84" s="256">
        <f t="shared" si="18"/>
        <v>-100</v>
      </c>
      <c r="U84" s="256">
        <f t="shared" si="16"/>
        <v>-100</v>
      </c>
      <c r="V84" s="250" t="e">
        <f t="shared" si="15"/>
        <v>#DIV/0!</v>
      </c>
      <c r="W84" s="250"/>
      <c r="X84" s="49"/>
      <c r="Y84" s="21"/>
      <c r="Z84" s="22"/>
    </row>
    <row r="85" spans="1:26" ht="12" customHeight="1" hidden="1">
      <c r="A85" s="12" t="s">
        <v>31</v>
      </c>
      <c r="B85" s="4" t="s">
        <v>55</v>
      </c>
      <c r="C85" s="40"/>
      <c r="D85" s="219"/>
      <c r="E85" s="214"/>
      <c r="F85" s="219"/>
      <c r="G85" s="214"/>
      <c r="H85" s="224"/>
      <c r="I85" s="216"/>
      <c r="J85" s="224"/>
      <c r="K85" s="214" t="e">
        <f t="shared" si="19"/>
        <v>#DIV/0!</v>
      </c>
      <c r="L85" s="337"/>
      <c r="M85" s="214" t="e">
        <f t="shared" si="20"/>
        <v>#DIV/0!</v>
      </c>
      <c r="N85" s="223"/>
      <c r="O85" s="223"/>
      <c r="P85" s="217"/>
      <c r="Q85" s="257"/>
      <c r="R85" s="250"/>
      <c r="S85" s="257"/>
      <c r="T85" s="256">
        <f t="shared" si="18"/>
        <v>-100</v>
      </c>
      <c r="U85" s="256">
        <f t="shared" si="16"/>
        <v>-100</v>
      </c>
      <c r="V85" s="250" t="e">
        <f t="shared" si="15"/>
        <v>#DIV/0!</v>
      </c>
      <c r="W85" s="250"/>
      <c r="X85" s="49"/>
      <c r="Y85" s="21"/>
      <c r="Z85" s="22"/>
    </row>
    <row r="86" spans="1:26" ht="12" customHeight="1" hidden="1">
      <c r="A86" s="12"/>
      <c r="B86" s="13" t="s">
        <v>58</v>
      </c>
      <c r="C86" s="40" t="s">
        <v>51</v>
      </c>
      <c r="D86" s="141"/>
      <c r="E86" s="217"/>
      <c r="F86" s="141"/>
      <c r="G86" s="229"/>
      <c r="H86" s="230"/>
      <c r="I86" s="220"/>
      <c r="J86" s="230"/>
      <c r="K86" s="214" t="e">
        <f t="shared" si="19"/>
        <v>#DIV/0!</v>
      </c>
      <c r="L86" s="337" t="e">
        <f>K86/(I86+1E-133)*100-100</f>
        <v>#DIV/0!</v>
      </c>
      <c r="M86" s="214" t="e">
        <f t="shared" si="20"/>
        <v>#DIV/0!</v>
      </c>
      <c r="N86" s="223" t="e">
        <f t="shared" si="21"/>
        <v>#DIV/0!</v>
      </c>
      <c r="O86" s="223" t="e">
        <f t="shared" si="22"/>
        <v>#DIV/0!</v>
      </c>
      <c r="P86" s="217"/>
      <c r="Q86" s="257"/>
      <c r="R86" s="250">
        <f>Q86/(F86+1E-106)*100-100</f>
        <v>-100</v>
      </c>
      <c r="S86" s="257"/>
      <c r="T86" s="256">
        <f t="shared" si="18"/>
        <v>-100</v>
      </c>
      <c r="U86" s="256">
        <f t="shared" si="16"/>
        <v>-100</v>
      </c>
      <c r="V86" s="250" t="e">
        <f t="shared" si="15"/>
        <v>#DIV/0!</v>
      </c>
      <c r="W86" s="250"/>
      <c r="X86" s="49"/>
      <c r="Y86" s="21"/>
      <c r="Z86" s="22"/>
    </row>
    <row r="87" spans="1:26" s="33" customFormat="1" ht="12" customHeight="1" hidden="1">
      <c r="A87" s="3"/>
      <c r="B87" s="4" t="s">
        <v>59</v>
      </c>
      <c r="C87" s="40" t="s">
        <v>60</v>
      </c>
      <c r="D87" s="220"/>
      <c r="E87" s="227">
        <f>(E114-E89*12*E90)/(E86+1E-107)</f>
        <v>0</v>
      </c>
      <c r="F87" s="220"/>
      <c r="G87" s="227">
        <f>(G114-G89*12*G90)/(G86+1E-107)</f>
        <v>0</v>
      </c>
      <c r="H87" s="235"/>
      <c r="I87" s="220"/>
      <c r="J87" s="235"/>
      <c r="K87" s="214" t="e">
        <f t="shared" si="19"/>
        <v>#DIV/0!</v>
      </c>
      <c r="L87" s="337" t="e">
        <f>K87/(I87+1E-133)*100-100</f>
        <v>#DIV/0!</v>
      </c>
      <c r="M87" s="214" t="e">
        <f t="shared" si="20"/>
        <v>#DIV/0!</v>
      </c>
      <c r="N87" s="223" t="e">
        <f t="shared" si="21"/>
        <v>#DIV/0!</v>
      </c>
      <c r="O87" s="227" t="e">
        <f t="shared" si="22"/>
        <v>#DIV/0!</v>
      </c>
      <c r="P87" s="227"/>
      <c r="Q87" s="25"/>
      <c r="R87" s="7">
        <f>Q87/(F87+1E-106)*100-100</f>
        <v>-100</v>
      </c>
      <c r="S87" s="25"/>
      <c r="T87" s="8">
        <f t="shared" si="18"/>
        <v>-100</v>
      </c>
      <c r="U87" s="8">
        <f t="shared" si="16"/>
        <v>-100</v>
      </c>
      <c r="V87" s="9" t="e">
        <f t="shared" si="15"/>
        <v>#DIV/0!</v>
      </c>
      <c r="W87" s="7"/>
      <c r="X87" s="50"/>
      <c r="Z87" s="34"/>
    </row>
    <row r="88" spans="1:26" ht="12" customHeight="1" hidden="1">
      <c r="A88" s="12"/>
      <c r="B88" s="13" t="s">
        <v>61</v>
      </c>
      <c r="C88" s="40" t="s">
        <v>62</v>
      </c>
      <c r="D88" s="141"/>
      <c r="E88" s="229"/>
      <c r="F88" s="141"/>
      <c r="G88" s="229"/>
      <c r="H88" s="230"/>
      <c r="I88" s="220"/>
      <c r="J88" s="230"/>
      <c r="K88" s="214" t="e">
        <f t="shared" si="19"/>
        <v>#DIV/0!</v>
      </c>
      <c r="L88" s="337" t="e">
        <f>K88/(I88+1E-133)*100-100</f>
        <v>#DIV/0!</v>
      </c>
      <c r="M88" s="214" t="e">
        <f t="shared" si="20"/>
        <v>#DIV/0!</v>
      </c>
      <c r="N88" s="223" t="e">
        <f t="shared" si="21"/>
        <v>#DIV/0!</v>
      </c>
      <c r="O88" s="223" t="e">
        <f t="shared" si="22"/>
        <v>#DIV/0!</v>
      </c>
      <c r="P88" s="217"/>
      <c r="Q88" s="257"/>
      <c r="R88" s="250"/>
      <c r="S88" s="257"/>
      <c r="T88" s="256">
        <f t="shared" si="18"/>
        <v>-100</v>
      </c>
      <c r="U88" s="256">
        <f t="shared" si="16"/>
        <v>-100</v>
      </c>
      <c r="V88" s="250" t="e">
        <f t="shared" si="15"/>
        <v>#DIV/0!</v>
      </c>
      <c r="W88" s="250"/>
      <c r="X88" s="49"/>
      <c r="Y88" s="21"/>
      <c r="Z88" s="22"/>
    </row>
    <row r="89" spans="1:26" ht="12" customHeight="1" hidden="1">
      <c r="A89" s="12"/>
      <c r="B89" s="13" t="s">
        <v>63</v>
      </c>
      <c r="C89" s="40" t="s">
        <v>64</v>
      </c>
      <c r="D89" s="141"/>
      <c r="E89" s="229"/>
      <c r="F89" s="141"/>
      <c r="G89" s="229"/>
      <c r="H89" s="230"/>
      <c r="I89" s="220"/>
      <c r="J89" s="230"/>
      <c r="K89" s="214" t="e">
        <f t="shared" si="19"/>
        <v>#DIV/0!</v>
      </c>
      <c r="L89" s="337" t="e">
        <f>K89/(I89+1E-133)*100-100</f>
        <v>#DIV/0!</v>
      </c>
      <c r="M89" s="214" t="e">
        <f t="shared" si="20"/>
        <v>#DIV/0!</v>
      </c>
      <c r="N89" s="223" t="e">
        <f t="shared" si="21"/>
        <v>#DIV/0!</v>
      </c>
      <c r="O89" s="223" t="e">
        <f t="shared" si="22"/>
        <v>#DIV/0!</v>
      </c>
      <c r="P89" s="217"/>
      <c r="Q89" s="257"/>
      <c r="R89" s="250">
        <f>Q89/(F89+1E-106)*100-100</f>
        <v>-100</v>
      </c>
      <c r="S89" s="257"/>
      <c r="T89" s="256">
        <f t="shared" si="18"/>
        <v>-100</v>
      </c>
      <c r="U89" s="256">
        <f t="shared" si="16"/>
        <v>-100</v>
      </c>
      <c r="V89" s="250" t="e">
        <f t="shared" si="15"/>
        <v>#DIV/0!</v>
      </c>
      <c r="W89" s="250"/>
      <c r="X89" s="49"/>
      <c r="Y89" s="21"/>
      <c r="Z89" s="22"/>
    </row>
    <row r="90" spans="1:26" ht="12" customHeight="1" hidden="1">
      <c r="A90" s="12"/>
      <c r="B90" s="13" t="s">
        <v>66</v>
      </c>
      <c r="C90" s="40" t="s">
        <v>67</v>
      </c>
      <c r="D90" s="141"/>
      <c r="E90" s="229"/>
      <c r="F90" s="141"/>
      <c r="G90" s="229"/>
      <c r="H90" s="230"/>
      <c r="I90" s="220"/>
      <c r="J90" s="230"/>
      <c r="K90" s="214" t="e">
        <f t="shared" si="19"/>
        <v>#DIV/0!</v>
      </c>
      <c r="L90" s="337" t="e">
        <f>K90/(I90+1E-133)*100-100</f>
        <v>#DIV/0!</v>
      </c>
      <c r="M90" s="214" t="e">
        <f t="shared" si="20"/>
        <v>#DIV/0!</v>
      </c>
      <c r="N90" s="223" t="e">
        <f t="shared" si="21"/>
        <v>#DIV/0!</v>
      </c>
      <c r="O90" s="223" t="e">
        <f t="shared" si="22"/>
        <v>#DIV/0!</v>
      </c>
      <c r="P90" s="217"/>
      <c r="Q90" s="257"/>
      <c r="R90" s="250">
        <f>Q90/(F90+1E-106)*100-100</f>
        <v>-100</v>
      </c>
      <c r="S90" s="257"/>
      <c r="T90" s="256">
        <f t="shared" si="18"/>
        <v>-100</v>
      </c>
      <c r="U90" s="256">
        <f t="shared" si="16"/>
        <v>-100</v>
      </c>
      <c r="V90" s="250" t="e">
        <f t="shared" si="15"/>
        <v>#DIV/0!</v>
      </c>
      <c r="W90" s="250"/>
      <c r="X90" s="49"/>
      <c r="Y90" s="21"/>
      <c r="Z90" s="22"/>
    </row>
    <row r="91" spans="1:26" ht="12" customHeight="1" hidden="1">
      <c r="A91" s="310" t="s">
        <v>31</v>
      </c>
      <c r="B91" s="4" t="s">
        <v>56</v>
      </c>
      <c r="C91" s="40"/>
      <c r="D91" s="219"/>
      <c r="E91" s="214"/>
      <c r="F91" s="219"/>
      <c r="G91" s="214"/>
      <c r="H91" s="224"/>
      <c r="I91" s="216"/>
      <c r="J91" s="224"/>
      <c r="K91" s="214" t="e">
        <f t="shared" si="19"/>
        <v>#DIV/0!</v>
      </c>
      <c r="L91" s="337"/>
      <c r="M91" s="214" t="e">
        <f t="shared" si="20"/>
        <v>#DIV/0!</v>
      </c>
      <c r="N91" s="223"/>
      <c r="O91" s="223"/>
      <c r="P91" s="217"/>
      <c r="Q91" s="257"/>
      <c r="R91" s="250"/>
      <c r="S91" s="257"/>
      <c r="T91" s="256">
        <f t="shared" si="18"/>
        <v>-100</v>
      </c>
      <c r="U91" s="256">
        <f t="shared" si="16"/>
        <v>-100</v>
      </c>
      <c r="V91" s="250" t="e">
        <f t="shared" si="15"/>
        <v>#DIV/0!</v>
      </c>
      <c r="W91" s="250"/>
      <c r="X91" s="49"/>
      <c r="Y91" s="21"/>
      <c r="Z91" s="22"/>
    </row>
    <row r="92" spans="1:26" ht="12" customHeight="1" hidden="1">
      <c r="A92" s="12"/>
      <c r="B92" s="13" t="s">
        <v>58</v>
      </c>
      <c r="C92" s="40" t="s">
        <v>51</v>
      </c>
      <c r="D92" s="141"/>
      <c r="E92" s="229"/>
      <c r="F92" s="141"/>
      <c r="G92" s="229"/>
      <c r="H92" s="230"/>
      <c r="I92" s="220"/>
      <c r="J92" s="230"/>
      <c r="K92" s="214" t="e">
        <f t="shared" si="19"/>
        <v>#DIV/0!</v>
      </c>
      <c r="L92" s="337" t="e">
        <f>K92/(I92+1E-133)*100-100</f>
        <v>#DIV/0!</v>
      </c>
      <c r="M92" s="214" t="e">
        <f t="shared" si="20"/>
        <v>#DIV/0!</v>
      </c>
      <c r="N92" s="223" t="e">
        <f t="shared" si="21"/>
        <v>#DIV/0!</v>
      </c>
      <c r="O92" s="223" t="e">
        <f t="shared" si="22"/>
        <v>#DIV/0!</v>
      </c>
      <c r="P92" s="217"/>
      <c r="Q92" s="257"/>
      <c r="R92" s="250">
        <f>Q92/(F92+1E-106)*100-100</f>
        <v>-100</v>
      </c>
      <c r="S92" s="257"/>
      <c r="T92" s="256">
        <f t="shared" si="18"/>
        <v>-100</v>
      </c>
      <c r="U92" s="256">
        <f t="shared" si="16"/>
        <v>-100</v>
      </c>
      <c r="V92" s="250" t="e">
        <f t="shared" si="15"/>
        <v>#DIV/0!</v>
      </c>
      <c r="W92" s="250"/>
      <c r="X92" s="49"/>
      <c r="Y92" s="21"/>
      <c r="Z92" s="22"/>
    </row>
    <row r="93" spans="1:26" s="33" customFormat="1" ht="12" customHeight="1" hidden="1">
      <c r="A93" s="3"/>
      <c r="B93" s="4" t="s">
        <v>59</v>
      </c>
      <c r="C93" s="40" t="s">
        <v>60</v>
      </c>
      <c r="D93" s="220"/>
      <c r="E93" s="227">
        <f>(E115-E95*12*E96)/(E92+1E-107)</f>
        <v>0</v>
      </c>
      <c r="F93" s="220"/>
      <c r="G93" s="227">
        <f>(G115-G95*12*G96)/(G92+1E-107)</f>
        <v>0</v>
      </c>
      <c r="H93" s="235"/>
      <c r="I93" s="220"/>
      <c r="J93" s="235"/>
      <c r="K93" s="214" t="e">
        <f t="shared" si="19"/>
        <v>#DIV/0!</v>
      </c>
      <c r="L93" s="337" t="e">
        <f>K93/(I93+1E-133)*100-100</f>
        <v>#DIV/0!</v>
      </c>
      <c r="M93" s="214" t="e">
        <f t="shared" si="20"/>
        <v>#DIV/0!</v>
      </c>
      <c r="N93" s="223" t="e">
        <f t="shared" si="21"/>
        <v>#DIV/0!</v>
      </c>
      <c r="O93" s="227" t="e">
        <f t="shared" si="22"/>
        <v>#DIV/0!</v>
      </c>
      <c r="P93" s="227"/>
      <c r="Q93" s="25"/>
      <c r="R93" s="7">
        <f>Q93/(F93+1E-106)*100-100</f>
        <v>-100</v>
      </c>
      <c r="S93" s="25"/>
      <c r="T93" s="8">
        <f t="shared" si="18"/>
        <v>-100</v>
      </c>
      <c r="U93" s="8">
        <f t="shared" si="16"/>
        <v>-100</v>
      </c>
      <c r="V93" s="9" t="e">
        <f t="shared" si="15"/>
        <v>#DIV/0!</v>
      </c>
      <c r="W93" s="9"/>
      <c r="X93" s="50"/>
      <c r="Z93" s="34"/>
    </row>
    <row r="94" spans="1:26" ht="12" customHeight="1" hidden="1">
      <c r="A94" s="12"/>
      <c r="B94" s="13" t="s">
        <v>61</v>
      </c>
      <c r="C94" s="40" t="s">
        <v>62</v>
      </c>
      <c r="D94" s="141"/>
      <c r="E94" s="229"/>
      <c r="F94" s="141"/>
      <c r="G94" s="229"/>
      <c r="H94" s="230"/>
      <c r="I94" s="220"/>
      <c r="J94" s="230"/>
      <c r="K94" s="214" t="e">
        <f t="shared" si="19"/>
        <v>#DIV/0!</v>
      </c>
      <c r="L94" s="337" t="e">
        <f>K94/(I94+1E-133)*100-100</f>
        <v>#DIV/0!</v>
      </c>
      <c r="M94" s="214" t="e">
        <f t="shared" si="20"/>
        <v>#DIV/0!</v>
      </c>
      <c r="N94" s="223" t="e">
        <f t="shared" si="21"/>
        <v>#DIV/0!</v>
      </c>
      <c r="O94" s="223" t="e">
        <f t="shared" si="22"/>
        <v>#DIV/0!</v>
      </c>
      <c r="P94" s="217"/>
      <c r="Q94" s="257"/>
      <c r="R94" s="250"/>
      <c r="S94" s="257"/>
      <c r="T94" s="256">
        <f t="shared" si="18"/>
        <v>-100</v>
      </c>
      <c r="U94" s="256">
        <f t="shared" si="16"/>
        <v>-100</v>
      </c>
      <c r="V94" s="250" t="e">
        <f t="shared" si="15"/>
        <v>#DIV/0!</v>
      </c>
      <c r="W94" s="250"/>
      <c r="X94" s="49"/>
      <c r="Y94" s="21"/>
      <c r="Z94" s="22"/>
    </row>
    <row r="95" spans="1:26" ht="12" customHeight="1" hidden="1">
      <c r="A95" s="12"/>
      <c r="B95" s="13" t="s">
        <v>63</v>
      </c>
      <c r="C95" s="40" t="s">
        <v>64</v>
      </c>
      <c r="D95" s="141"/>
      <c r="E95" s="229"/>
      <c r="F95" s="141"/>
      <c r="G95" s="229"/>
      <c r="H95" s="230"/>
      <c r="I95" s="220"/>
      <c r="J95" s="230"/>
      <c r="K95" s="214" t="e">
        <f t="shared" si="19"/>
        <v>#DIV/0!</v>
      </c>
      <c r="L95" s="337" t="e">
        <f>K95/(I95+1E-133)*100-100</f>
        <v>#DIV/0!</v>
      </c>
      <c r="M95" s="214" t="e">
        <f t="shared" si="20"/>
        <v>#DIV/0!</v>
      </c>
      <c r="N95" s="223" t="e">
        <f t="shared" si="21"/>
        <v>#DIV/0!</v>
      </c>
      <c r="O95" s="223" t="e">
        <f t="shared" si="22"/>
        <v>#DIV/0!</v>
      </c>
      <c r="P95" s="217"/>
      <c r="Q95" s="257"/>
      <c r="R95" s="250">
        <f>Q95/(F95+1E-106)*100-100</f>
        <v>-100</v>
      </c>
      <c r="S95" s="257"/>
      <c r="T95" s="256">
        <f t="shared" si="18"/>
        <v>-100</v>
      </c>
      <c r="U95" s="256">
        <f t="shared" si="16"/>
        <v>-100</v>
      </c>
      <c r="V95" s="250" t="e">
        <f t="shared" si="15"/>
        <v>#DIV/0!</v>
      </c>
      <c r="W95" s="250"/>
      <c r="X95" s="49"/>
      <c r="Y95" s="21"/>
      <c r="Z95" s="22"/>
    </row>
    <row r="96" spans="1:26" ht="12" customHeight="1" hidden="1">
      <c r="A96" s="12"/>
      <c r="B96" s="13" t="s">
        <v>66</v>
      </c>
      <c r="C96" s="40" t="s">
        <v>67</v>
      </c>
      <c r="D96" s="141"/>
      <c r="E96" s="229"/>
      <c r="F96" s="141"/>
      <c r="G96" s="229"/>
      <c r="H96" s="230"/>
      <c r="I96" s="220"/>
      <c r="J96" s="230"/>
      <c r="K96" s="214" t="e">
        <f t="shared" si="19"/>
        <v>#DIV/0!</v>
      </c>
      <c r="L96" s="337" t="e">
        <f>K96/(I96+1E-133)*100-100</f>
        <v>#DIV/0!</v>
      </c>
      <c r="M96" s="214" t="e">
        <f t="shared" si="20"/>
        <v>#DIV/0!</v>
      </c>
      <c r="N96" s="223" t="e">
        <f t="shared" si="21"/>
        <v>#DIV/0!</v>
      </c>
      <c r="O96" s="223" t="e">
        <f t="shared" si="22"/>
        <v>#DIV/0!</v>
      </c>
      <c r="P96" s="217"/>
      <c r="Q96" s="257"/>
      <c r="R96" s="250">
        <f>Q96/(F96+1E-106)*100-100</f>
        <v>-100</v>
      </c>
      <c r="S96" s="257"/>
      <c r="T96" s="256">
        <f t="shared" si="18"/>
        <v>-100</v>
      </c>
      <c r="U96" s="256">
        <f t="shared" si="16"/>
        <v>-100</v>
      </c>
      <c r="V96" s="250" t="e">
        <f t="shared" si="15"/>
        <v>#DIV/0!</v>
      </c>
      <c r="W96" s="250"/>
      <c r="X96" s="49"/>
      <c r="Y96" s="21"/>
      <c r="Z96" s="22"/>
    </row>
    <row r="97" spans="1:26" ht="12" customHeight="1">
      <c r="A97" s="51">
        <v>9</v>
      </c>
      <c r="B97" s="52" t="s">
        <v>68</v>
      </c>
      <c r="C97" s="163"/>
      <c r="D97" s="219"/>
      <c r="E97" s="219"/>
      <c r="F97" s="219"/>
      <c r="G97" s="219"/>
      <c r="H97" s="216"/>
      <c r="I97" s="216"/>
      <c r="J97" s="216"/>
      <c r="K97" s="336"/>
      <c r="L97" s="337"/>
      <c r="M97" s="336"/>
      <c r="N97" s="219"/>
      <c r="O97" s="219"/>
      <c r="P97" s="141"/>
      <c r="Q97" s="258"/>
      <c r="R97" s="259"/>
      <c r="S97" s="258"/>
      <c r="T97" s="260"/>
      <c r="U97" s="260"/>
      <c r="V97" s="261">
        <f t="shared" si="15"/>
        <v>0</v>
      </c>
      <c r="W97" s="259"/>
      <c r="X97" s="49"/>
      <c r="Y97" s="21"/>
      <c r="Z97" s="22"/>
    </row>
    <row r="98" spans="1:26" ht="12" customHeight="1">
      <c r="A98" s="12"/>
      <c r="B98" s="13" t="s">
        <v>69</v>
      </c>
      <c r="C98" s="40" t="s">
        <v>70</v>
      </c>
      <c r="D98" s="141"/>
      <c r="E98" s="214">
        <f>E99*1000/(E8+1E-104)</f>
        <v>0</v>
      </c>
      <c r="F98" s="141"/>
      <c r="G98" s="214">
        <f>G99*1000/(G8+1E-104)</f>
        <v>0</v>
      </c>
      <c r="H98" s="235">
        <v>0.3</v>
      </c>
      <c r="I98" s="220">
        <f>H98</f>
        <v>0.3</v>
      </c>
      <c r="J98" s="235">
        <v>0.3</v>
      </c>
      <c r="K98" s="214">
        <f t="shared" si="19"/>
        <v>0</v>
      </c>
      <c r="L98" s="337">
        <f>I98</f>
        <v>0.3</v>
      </c>
      <c r="M98" s="214">
        <f t="shared" si="20"/>
        <v>0</v>
      </c>
      <c r="N98" s="223">
        <f t="shared" si="21"/>
        <v>-100</v>
      </c>
      <c r="O98" s="223">
        <f t="shared" si="22"/>
        <v>0</v>
      </c>
      <c r="P98" s="223"/>
      <c r="Q98" s="38">
        <f>F98</f>
        <v>0</v>
      </c>
      <c r="R98" s="16">
        <f>Q98/(F98+1E-106)*100-100</f>
        <v>-100</v>
      </c>
      <c r="S98" s="38">
        <f>Q98</f>
        <v>0</v>
      </c>
      <c r="T98" s="17">
        <f t="shared" si="18"/>
        <v>-100</v>
      </c>
      <c r="U98" s="17">
        <f>S98/(F98+1E-106)*100-100</f>
        <v>-100</v>
      </c>
      <c r="V98" s="16">
        <f>S98-K98</f>
        <v>0</v>
      </c>
      <c r="W98" s="16"/>
      <c r="X98" s="49"/>
      <c r="Y98" s="21"/>
      <c r="Z98" s="22"/>
    </row>
    <row r="99" spans="1:24" ht="12" customHeight="1">
      <c r="A99" s="12"/>
      <c r="B99" s="13" t="s">
        <v>71</v>
      </c>
      <c r="C99" s="40" t="s">
        <v>72</v>
      </c>
      <c r="D99" s="219">
        <f>D98*D8/1000</f>
        <v>0</v>
      </c>
      <c r="E99" s="229"/>
      <c r="F99" s="219">
        <f>F98*F8/1000</f>
        <v>0</v>
      </c>
      <c r="G99" s="229"/>
      <c r="H99" s="235">
        <f>H98*H8/1000</f>
        <v>0.055979999999999995</v>
      </c>
      <c r="I99" s="216">
        <f>I98*I8/1000</f>
        <v>0.055187819519257976</v>
      </c>
      <c r="J99" s="235">
        <f>J98*J8/1000</f>
        <v>0.055979999999999995</v>
      </c>
      <c r="K99" s="214">
        <f t="shared" si="19"/>
        <v>0</v>
      </c>
      <c r="L99" s="337">
        <f>I99</f>
        <v>0.055187819519257976</v>
      </c>
      <c r="M99" s="214">
        <f t="shared" si="20"/>
        <v>0</v>
      </c>
      <c r="N99" s="223">
        <f t="shared" si="21"/>
        <v>-100</v>
      </c>
      <c r="O99" s="223">
        <f t="shared" si="22"/>
        <v>0</v>
      </c>
      <c r="P99" s="223"/>
      <c r="Q99" s="38">
        <f>Q98*Q8/1000</f>
        <v>0</v>
      </c>
      <c r="R99" s="16">
        <f>Q99/(F99+1E-106)*100-100</f>
        <v>-100</v>
      </c>
      <c r="S99" s="38">
        <f>S98*S8/1000</f>
        <v>0</v>
      </c>
      <c r="T99" s="17">
        <f t="shared" si="18"/>
        <v>-100</v>
      </c>
      <c r="U99" s="17">
        <f>S99/(F99+1E-106)*100-100</f>
        <v>-100</v>
      </c>
      <c r="V99" s="16">
        <f>S99-K99</f>
        <v>0</v>
      </c>
      <c r="W99" s="16"/>
      <c r="X99" s="49"/>
    </row>
    <row r="100" spans="1:24" s="33" customFormat="1" ht="12" customHeight="1">
      <c r="A100" s="3"/>
      <c r="B100" s="4" t="s">
        <v>73</v>
      </c>
      <c r="C100" s="40" t="s">
        <v>74</v>
      </c>
      <c r="D100" s="220"/>
      <c r="E100" s="224">
        <f>E116/(E99+1E-108)</f>
        <v>0</v>
      </c>
      <c r="F100" s="220"/>
      <c r="G100" s="224">
        <f>G116/(G99+1E-108)</f>
        <v>0</v>
      </c>
      <c r="H100" s="235">
        <f>I100</f>
        <v>14.0662136</v>
      </c>
      <c r="I100" s="220">
        <f>(9.79+0.098*21.74)*1.18</f>
        <v>14.0662136</v>
      </c>
      <c r="J100" s="235">
        <f>H100*1.1</f>
        <v>15.47283496</v>
      </c>
      <c r="K100" s="214">
        <f t="shared" si="19"/>
        <v>10.000000000000014</v>
      </c>
      <c r="L100" s="337">
        <f>I100*1.1</f>
        <v>15.47283496</v>
      </c>
      <c r="M100" s="214">
        <f t="shared" si="20"/>
        <v>10.000000000000014</v>
      </c>
      <c r="N100" s="223">
        <f t="shared" si="21"/>
        <v>-28.907662826903078</v>
      </c>
      <c r="O100" s="227">
        <f t="shared" si="22"/>
        <v>0</v>
      </c>
      <c r="P100" s="227"/>
      <c r="Q100" s="25">
        <f>F100</f>
        <v>0</v>
      </c>
      <c r="R100" s="9">
        <f>Q100/(F100+1E-106)*100-100</f>
        <v>-100</v>
      </c>
      <c r="S100" s="25">
        <f>Q100</f>
        <v>0</v>
      </c>
      <c r="T100" s="8">
        <f t="shared" si="18"/>
        <v>-100</v>
      </c>
      <c r="U100" s="8">
        <f>S100/(F100+1E-106)*100-100</f>
        <v>-100</v>
      </c>
      <c r="V100" s="9">
        <f>S100-K100</f>
        <v>-10.000000000000014</v>
      </c>
      <c r="W100" s="9"/>
      <c r="X100" s="50"/>
    </row>
    <row r="101" spans="1:24" ht="16.5" customHeight="1">
      <c r="A101" s="166"/>
      <c r="B101" s="167" t="s">
        <v>75</v>
      </c>
      <c r="C101" s="168"/>
      <c r="D101" s="231"/>
      <c r="E101" s="231"/>
      <c r="F101" s="231"/>
      <c r="G101" s="231"/>
      <c r="H101" s="228"/>
      <c r="I101" s="228"/>
      <c r="J101" s="228"/>
      <c r="K101" s="346"/>
      <c r="L101" s="347"/>
      <c r="M101" s="346"/>
      <c r="N101" s="182"/>
      <c r="O101" s="182"/>
      <c r="P101" s="231"/>
      <c r="Q101" s="262"/>
      <c r="R101" s="263"/>
      <c r="S101" s="262"/>
      <c r="T101" s="264"/>
      <c r="U101" s="264"/>
      <c r="V101" s="265"/>
      <c r="W101" s="263"/>
      <c r="X101" s="49"/>
    </row>
    <row r="102" spans="1:24" ht="12" customHeight="1">
      <c r="A102" s="174">
        <v>10</v>
      </c>
      <c r="B102" s="167" t="s">
        <v>76</v>
      </c>
      <c r="C102" s="168" t="s">
        <v>77</v>
      </c>
      <c r="D102" s="181">
        <f>SUMIF(D104:D110,"&gt;0")</f>
        <v>0</v>
      </c>
      <c r="E102" s="181">
        <f>SUMIF(E104:E110,"&gt;0")</f>
        <v>0</v>
      </c>
      <c r="F102" s="181">
        <f>SUMIF(F104:F110,"&gt;0")</f>
        <v>0</v>
      </c>
      <c r="G102" s="181">
        <f>SUMIF(G104:G110,"&gt;0")</f>
        <v>0</v>
      </c>
      <c r="H102" s="266">
        <f>H104</f>
        <v>107.69040602290406</v>
      </c>
      <c r="I102" s="181">
        <f>SUMIF(I104:I110,"&gt;0")</f>
        <v>107.69040602290406</v>
      </c>
      <c r="J102" s="266">
        <f>J104</f>
        <v>123.84396692633965</v>
      </c>
      <c r="K102" s="346">
        <f t="shared" si="19"/>
        <v>14.999999999999986</v>
      </c>
      <c r="L102" s="347">
        <f>L104</f>
        <v>123.84396692633965</v>
      </c>
      <c r="M102" s="346">
        <f t="shared" si="20"/>
        <v>14.999999999999986</v>
      </c>
      <c r="N102" s="182">
        <f t="shared" si="21"/>
        <v>-86.0711826113742</v>
      </c>
      <c r="O102" s="181">
        <f>L102/($L$163+1E-103)*100</f>
        <v>37.600031967480604</v>
      </c>
      <c r="P102" s="181">
        <f>M102/($L$163+1E-103)*100</f>
        <v>4.554121557230695</v>
      </c>
      <c r="Q102" s="172">
        <f>SUMIF(Q104:Q110,"&gt;0")</f>
        <v>0</v>
      </c>
      <c r="R102" s="172">
        <f>Q102/(F102+1E-106)*100-100</f>
        <v>-100</v>
      </c>
      <c r="S102" s="172">
        <f>SUMIF(S104:S110,"&gt;0")</f>
        <v>0</v>
      </c>
      <c r="T102" s="171">
        <f t="shared" si="18"/>
        <v>-100</v>
      </c>
      <c r="U102" s="171">
        <f>S102/(F102+1E-106)*100-100</f>
        <v>-100</v>
      </c>
      <c r="V102" s="172">
        <f aca="true" t="shared" si="23" ref="V102:V125">S102-K102</f>
        <v>-14.999999999999986</v>
      </c>
      <c r="W102" s="175"/>
      <c r="X102" s="49"/>
    </row>
    <row r="103" spans="1:24" s="332" customFormat="1" ht="13.5" customHeight="1">
      <c r="A103" s="323"/>
      <c r="B103" s="324" t="s">
        <v>212</v>
      </c>
      <c r="C103" s="325"/>
      <c r="D103" s="326"/>
      <c r="E103" s="326"/>
      <c r="F103" s="326"/>
      <c r="G103" s="326"/>
      <c r="H103" s="326"/>
      <c r="I103" s="348"/>
      <c r="J103" s="326"/>
      <c r="K103" s="346"/>
      <c r="L103" s="348"/>
      <c r="M103" s="346"/>
      <c r="N103" s="326"/>
      <c r="O103" s="326"/>
      <c r="P103" s="327"/>
      <c r="Q103" s="327"/>
      <c r="R103" s="327"/>
      <c r="S103" s="328"/>
      <c r="T103" s="328"/>
      <c r="U103" s="327"/>
      <c r="V103" s="329"/>
      <c r="W103" s="330"/>
      <c r="X103" s="331"/>
    </row>
    <row r="104" spans="1:24" ht="12" customHeight="1">
      <c r="A104" s="12" t="s">
        <v>31</v>
      </c>
      <c r="B104" s="13" t="s">
        <v>78</v>
      </c>
      <c r="C104" s="40" t="s">
        <v>77</v>
      </c>
      <c r="D104" s="219">
        <f>D30*D31/1000</f>
        <v>0</v>
      </c>
      <c r="E104" s="229"/>
      <c r="F104" s="219">
        <f>F30*F31/1000</f>
        <v>0</v>
      </c>
      <c r="G104" s="229"/>
      <c r="H104" s="230">
        <f>H30*H31/1000</f>
        <v>107.69040602290406</v>
      </c>
      <c r="I104" s="216">
        <f>I30*I31/1000</f>
        <v>107.69040602290406</v>
      </c>
      <c r="J104" s="230">
        <f>J30*J31/1000</f>
        <v>123.84396692633965</v>
      </c>
      <c r="K104" s="214">
        <f t="shared" si="19"/>
        <v>14.999999999999986</v>
      </c>
      <c r="L104" s="216">
        <f>L30*L31/1000</f>
        <v>123.84396692633965</v>
      </c>
      <c r="M104" s="214">
        <f t="shared" si="20"/>
        <v>14.999999999999986</v>
      </c>
      <c r="N104" s="223">
        <f t="shared" si="21"/>
        <v>-86.0711826113742</v>
      </c>
      <c r="O104" s="223"/>
      <c r="P104" s="223"/>
      <c r="Q104" s="249">
        <f>Q30*Q31/1000</f>
        <v>0</v>
      </c>
      <c r="R104" s="250">
        <f aca="true" t="shared" si="24" ref="R104:R125">Q104/(F104+1E-106)*100-100</f>
        <v>-100</v>
      </c>
      <c r="S104" s="249">
        <f>S30*S31/1000</f>
        <v>0</v>
      </c>
      <c r="T104" s="256">
        <f t="shared" si="18"/>
        <v>-100</v>
      </c>
      <c r="U104" s="256">
        <f aca="true" t="shared" si="25" ref="U104:U127">S104/(F104+1E-106)*100-100</f>
        <v>-100</v>
      </c>
      <c r="V104" s="250">
        <f t="shared" si="23"/>
        <v>-14.999999999999986</v>
      </c>
      <c r="W104" s="267"/>
      <c r="X104" s="49"/>
    </row>
    <row r="105" spans="1:24" ht="12" customHeight="1" hidden="1">
      <c r="A105" s="12" t="s">
        <v>31</v>
      </c>
      <c r="B105" s="13" t="s">
        <v>79</v>
      </c>
      <c r="C105" s="40" t="s">
        <v>77</v>
      </c>
      <c r="D105" s="219">
        <f>D36*D37/1000</f>
        <v>0</v>
      </c>
      <c r="E105" s="229"/>
      <c r="F105" s="219">
        <f>F36*F37/1000</f>
        <v>0</v>
      </c>
      <c r="G105" s="229"/>
      <c r="H105" s="230"/>
      <c r="I105" s="216">
        <f>I36*I37/1000</f>
        <v>0</v>
      </c>
      <c r="J105" s="230"/>
      <c r="K105" s="214" t="e">
        <f t="shared" si="19"/>
        <v>#DIV/0!</v>
      </c>
      <c r="L105" s="216">
        <f>L36*L37/1000</f>
        <v>10</v>
      </c>
      <c r="M105" s="214" t="e">
        <f t="shared" si="20"/>
        <v>#DIV/0!</v>
      </c>
      <c r="N105" s="223" t="e">
        <f t="shared" si="21"/>
        <v>#DIV/0!</v>
      </c>
      <c r="O105" s="223"/>
      <c r="P105" s="223"/>
      <c r="Q105" s="249">
        <f>Q36*Q37/1000</f>
        <v>0</v>
      </c>
      <c r="R105" s="250">
        <f t="shared" si="24"/>
        <v>-100</v>
      </c>
      <c r="S105" s="249">
        <f>S36*S37/1000</f>
        <v>0</v>
      </c>
      <c r="T105" s="251">
        <f t="shared" si="18"/>
        <v>-100</v>
      </c>
      <c r="U105" s="251">
        <f t="shared" si="25"/>
        <v>-100</v>
      </c>
      <c r="V105" s="250" t="e">
        <f t="shared" si="23"/>
        <v>#DIV/0!</v>
      </c>
      <c r="W105" s="267"/>
      <c r="X105" s="49"/>
    </row>
    <row r="106" spans="1:24" ht="12" customHeight="1" hidden="1">
      <c r="A106" s="12" t="s">
        <v>31</v>
      </c>
      <c r="B106" s="13" t="s">
        <v>80</v>
      </c>
      <c r="C106" s="40" t="s">
        <v>77</v>
      </c>
      <c r="D106" s="219">
        <f>D42*D43/1000</f>
        <v>0</v>
      </c>
      <c r="E106" s="229"/>
      <c r="F106" s="219">
        <f>F42*F43/1000</f>
        <v>0</v>
      </c>
      <c r="G106" s="229"/>
      <c r="H106" s="230"/>
      <c r="I106" s="216">
        <f>I42*I43/1000</f>
        <v>0</v>
      </c>
      <c r="J106" s="230"/>
      <c r="K106" s="214" t="e">
        <f t="shared" si="19"/>
        <v>#DIV/0!</v>
      </c>
      <c r="L106" s="216">
        <f>L42*L43/1000</f>
        <v>10</v>
      </c>
      <c r="M106" s="214" t="e">
        <f t="shared" si="20"/>
        <v>#DIV/0!</v>
      </c>
      <c r="N106" s="223" t="e">
        <f t="shared" si="21"/>
        <v>#DIV/0!</v>
      </c>
      <c r="O106" s="223"/>
      <c r="P106" s="223"/>
      <c r="Q106" s="249">
        <f>Q42*Q43/1000</f>
        <v>0</v>
      </c>
      <c r="R106" s="250">
        <f t="shared" si="24"/>
        <v>-100</v>
      </c>
      <c r="S106" s="249">
        <f>S42*S43/1000</f>
        <v>0</v>
      </c>
      <c r="T106" s="251">
        <f t="shared" si="18"/>
        <v>-100</v>
      </c>
      <c r="U106" s="251">
        <f t="shared" si="25"/>
        <v>-100</v>
      </c>
      <c r="V106" s="250" t="e">
        <f t="shared" si="23"/>
        <v>#DIV/0!</v>
      </c>
      <c r="W106" s="267"/>
      <c r="X106" s="49"/>
    </row>
    <row r="107" spans="1:24" ht="12" customHeight="1" hidden="1">
      <c r="A107" s="12" t="s">
        <v>31</v>
      </c>
      <c r="B107" s="13" t="s">
        <v>81</v>
      </c>
      <c r="C107" s="40" t="s">
        <v>77</v>
      </c>
      <c r="D107" s="219">
        <f>D48*D49/1000</f>
        <v>0</v>
      </c>
      <c r="E107" s="229"/>
      <c r="F107" s="219">
        <f>F48*F49/1000</f>
        <v>0</v>
      </c>
      <c r="G107" s="229"/>
      <c r="H107" s="230"/>
      <c r="I107" s="216">
        <f>I48*I49/1000</f>
        <v>0</v>
      </c>
      <c r="J107" s="230"/>
      <c r="K107" s="214" t="e">
        <f t="shared" si="19"/>
        <v>#DIV/0!</v>
      </c>
      <c r="L107" s="216">
        <f>L48*L49/1000</f>
        <v>10</v>
      </c>
      <c r="M107" s="214" t="e">
        <f t="shared" si="20"/>
        <v>#DIV/0!</v>
      </c>
      <c r="N107" s="223" t="e">
        <f t="shared" si="21"/>
        <v>#DIV/0!</v>
      </c>
      <c r="O107" s="223"/>
      <c r="P107" s="223"/>
      <c r="Q107" s="249">
        <f>Q48*Q49/1000</f>
        <v>0</v>
      </c>
      <c r="R107" s="250">
        <f t="shared" si="24"/>
        <v>-100</v>
      </c>
      <c r="S107" s="249">
        <f>S48*S49/1000</f>
        <v>0</v>
      </c>
      <c r="T107" s="251">
        <f t="shared" si="18"/>
        <v>-100</v>
      </c>
      <c r="U107" s="251">
        <f t="shared" si="25"/>
        <v>-100</v>
      </c>
      <c r="V107" s="250" t="e">
        <f t="shared" si="23"/>
        <v>#DIV/0!</v>
      </c>
      <c r="W107" s="267"/>
      <c r="X107" s="49"/>
    </row>
    <row r="108" spans="1:24" ht="12" customHeight="1" hidden="1">
      <c r="A108" s="12" t="s">
        <v>31</v>
      </c>
      <c r="B108" s="13" t="s">
        <v>82</v>
      </c>
      <c r="C108" s="40" t="s">
        <v>77</v>
      </c>
      <c r="D108" s="219">
        <f>D54*D55/1000</f>
        <v>0</v>
      </c>
      <c r="E108" s="229"/>
      <c r="F108" s="219">
        <f>F54*F55/1000</f>
        <v>0</v>
      </c>
      <c r="G108" s="229"/>
      <c r="H108" s="230"/>
      <c r="I108" s="216">
        <f>I54*I55/1000</f>
        <v>0</v>
      </c>
      <c r="J108" s="230"/>
      <c r="K108" s="214" t="e">
        <f t="shared" si="19"/>
        <v>#DIV/0!</v>
      </c>
      <c r="L108" s="216">
        <f>L54*L55/1000</f>
        <v>10</v>
      </c>
      <c r="M108" s="214" t="e">
        <f t="shared" si="20"/>
        <v>#DIV/0!</v>
      </c>
      <c r="N108" s="223" t="e">
        <f t="shared" si="21"/>
        <v>#DIV/0!</v>
      </c>
      <c r="O108" s="223"/>
      <c r="P108" s="223"/>
      <c r="Q108" s="249">
        <f>Q54*Q55/1000</f>
        <v>0</v>
      </c>
      <c r="R108" s="250">
        <f t="shared" si="24"/>
        <v>-100</v>
      </c>
      <c r="S108" s="249">
        <f>S54*S55/1000</f>
        <v>0</v>
      </c>
      <c r="T108" s="251">
        <f t="shared" si="18"/>
        <v>-100</v>
      </c>
      <c r="U108" s="251">
        <f t="shared" si="25"/>
        <v>-100</v>
      </c>
      <c r="V108" s="250" t="e">
        <f t="shared" si="23"/>
        <v>#DIV/0!</v>
      </c>
      <c r="W108" s="267"/>
      <c r="X108" s="49"/>
    </row>
    <row r="109" spans="1:24" ht="12" customHeight="1" hidden="1">
      <c r="A109" s="12" t="s">
        <v>31</v>
      </c>
      <c r="B109" s="13" t="s">
        <v>83</v>
      </c>
      <c r="C109" s="40" t="s">
        <v>77</v>
      </c>
      <c r="D109" s="219">
        <f>D60*D61/1000</f>
        <v>0</v>
      </c>
      <c r="E109" s="229"/>
      <c r="F109" s="219">
        <f>F60*F61/1000</f>
        <v>0</v>
      </c>
      <c r="G109" s="229"/>
      <c r="H109" s="230"/>
      <c r="I109" s="216">
        <f>I60*I61/1000</f>
        <v>0</v>
      </c>
      <c r="J109" s="230"/>
      <c r="K109" s="214" t="e">
        <f t="shared" si="19"/>
        <v>#DIV/0!</v>
      </c>
      <c r="L109" s="216">
        <f>L60*L61/1000</f>
        <v>10</v>
      </c>
      <c r="M109" s="214" t="e">
        <f t="shared" si="20"/>
        <v>#DIV/0!</v>
      </c>
      <c r="N109" s="223" t="e">
        <f t="shared" si="21"/>
        <v>#DIV/0!</v>
      </c>
      <c r="O109" s="223"/>
      <c r="P109" s="223"/>
      <c r="Q109" s="249">
        <f>Q60*Q61/1000</f>
        <v>0</v>
      </c>
      <c r="R109" s="250">
        <f t="shared" si="24"/>
        <v>-100</v>
      </c>
      <c r="S109" s="249">
        <f>S60*S61/1000</f>
        <v>0</v>
      </c>
      <c r="T109" s="251">
        <f t="shared" si="18"/>
        <v>-100</v>
      </c>
      <c r="U109" s="251">
        <f t="shared" si="25"/>
        <v>-100</v>
      </c>
      <c r="V109" s="250" t="e">
        <f t="shared" si="23"/>
        <v>#DIV/0!</v>
      </c>
      <c r="W109" s="267"/>
      <c r="X109" s="49"/>
    </row>
    <row r="110" spans="1:24" ht="12" customHeight="1" hidden="1">
      <c r="A110" s="12" t="s">
        <v>31</v>
      </c>
      <c r="B110" s="13" t="s">
        <v>84</v>
      </c>
      <c r="C110" s="40" t="s">
        <v>77</v>
      </c>
      <c r="D110" s="219">
        <f>D66*D67/1000</f>
        <v>0</v>
      </c>
      <c r="E110" s="229"/>
      <c r="F110" s="219">
        <f>F66*F67/1000</f>
        <v>0</v>
      </c>
      <c r="G110" s="229"/>
      <c r="H110" s="230"/>
      <c r="I110" s="216">
        <f>I66*I67/1000</f>
        <v>0</v>
      </c>
      <c r="J110" s="230"/>
      <c r="K110" s="214" t="e">
        <f t="shared" si="19"/>
        <v>#DIV/0!</v>
      </c>
      <c r="L110" s="216">
        <f>L66*L67/1000</f>
        <v>10</v>
      </c>
      <c r="M110" s="214" t="e">
        <f t="shared" si="20"/>
        <v>#DIV/0!</v>
      </c>
      <c r="N110" s="223" t="e">
        <f t="shared" si="21"/>
        <v>#DIV/0!</v>
      </c>
      <c r="O110" s="223"/>
      <c r="P110" s="223"/>
      <c r="Q110" s="249">
        <f>Q66*Q67/1000</f>
        <v>0</v>
      </c>
      <c r="R110" s="250">
        <f t="shared" si="24"/>
        <v>-100</v>
      </c>
      <c r="S110" s="249">
        <f>S66*S67/1000</f>
        <v>0</v>
      </c>
      <c r="T110" s="251">
        <f t="shared" si="18"/>
        <v>-100</v>
      </c>
      <c r="U110" s="251">
        <f t="shared" si="25"/>
        <v>-100</v>
      </c>
      <c r="V110" s="250" t="e">
        <f t="shared" si="23"/>
        <v>#DIV/0!</v>
      </c>
      <c r="W110" s="267"/>
      <c r="X110" s="49"/>
    </row>
    <row r="111" spans="1:24" s="33" customFormat="1" ht="12" customHeight="1">
      <c r="A111" s="174">
        <v>11</v>
      </c>
      <c r="B111" s="167" t="s">
        <v>49</v>
      </c>
      <c r="C111" s="168" t="s">
        <v>77</v>
      </c>
      <c r="D111" s="181">
        <f>D112+D113+D114+D115</f>
        <v>0</v>
      </c>
      <c r="E111" s="181">
        <f>E112+E113+E114+E115</f>
        <v>0</v>
      </c>
      <c r="F111" s="181">
        <f>F112+F113+F114+F115</f>
        <v>0</v>
      </c>
      <c r="G111" s="181">
        <f>G112+G113+G114+G115</f>
        <v>0</v>
      </c>
      <c r="H111" s="266">
        <f>H74*H75</f>
        <v>14.949</v>
      </c>
      <c r="I111" s="181">
        <f>I112+I113+I114+I115</f>
        <v>10.55753552</v>
      </c>
      <c r="J111" s="266">
        <f>J74*J75</f>
        <v>16.742880000000003</v>
      </c>
      <c r="K111" s="346">
        <f t="shared" si="19"/>
        <v>12.000000000000028</v>
      </c>
      <c r="L111" s="347">
        <f>L112</f>
        <v>11.8244397824</v>
      </c>
      <c r="M111" s="346">
        <f t="shared" si="20"/>
        <v>12.000000000000014</v>
      </c>
      <c r="N111" s="182">
        <f t="shared" si="21"/>
        <v>13.662890143892355</v>
      </c>
      <c r="O111" s="181">
        <f>L111/($L$163+1E-103)*100</f>
        <v>3.5899957410136083</v>
      </c>
      <c r="P111" s="181">
        <f>M111/($L$163+1E-103)*100</f>
        <v>3.643297245784564</v>
      </c>
      <c r="Q111" s="172" t="e">
        <f>#REF!+#REF!</f>
        <v>#REF!</v>
      </c>
      <c r="R111" s="172" t="e">
        <f t="shared" si="24"/>
        <v>#REF!</v>
      </c>
      <c r="S111" s="172" t="e">
        <f>#REF!+#REF!</f>
        <v>#REF!</v>
      </c>
      <c r="T111" s="171" t="e">
        <f t="shared" si="18"/>
        <v>#REF!</v>
      </c>
      <c r="U111" s="171" t="e">
        <f t="shared" si="25"/>
        <v>#REF!</v>
      </c>
      <c r="V111" s="172" t="e">
        <f t="shared" si="23"/>
        <v>#REF!</v>
      </c>
      <c r="W111" s="175"/>
      <c r="X111" s="50"/>
    </row>
    <row r="112" spans="1:25" ht="12" customHeight="1">
      <c r="A112" s="12" t="s">
        <v>31</v>
      </c>
      <c r="B112" s="13" t="s">
        <v>85</v>
      </c>
      <c r="C112" s="40" t="s">
        <v>77</v>
      </c>
      <c r="D112" s="219">
        <f>D74*D75+D77*12*D78</f>
        <v>0</v>
      </c>
      <c r="E112" s="229"/>
      <c r="F112" s="219">
        <f>F74*F75+F77*12*F78</f>
        <v>0</v>
      </c>
      <c r="G112" s="229"/>
      <c r="H112" s="230">
        <v>14.95</v>
      </c>
      <c r="I112" s="216">
        <f>I75*I74</f>
        <v>10.55753552</v>
      </c>
      <c r="J112" s="230">
        <v>14.95</v>
      </c>
      <c r="K112" s="214">
        <f t="shared" si="19"/>
        <v>0</v>
      </c>
      <c r="L112" s="216">
        <f>L75*L74</f>
        <v>11.8244397824</v>
      </c>
      <c r="M112" s="214">
        <f t="shared" si="20"/>
        <v>12.000000000000014</v>
      </c>
      <c r="N112" s="223">
        <f t="shared" si="21"/>
        <v>13.662890143892355</v>
      </c>
      <c r="O112" s="223"/>
      <c r="P112" s="223"/>
      <c r="Q112" s="249"/>
      <c r="R112" s="250">
        <f t="shared" si="24"/>
        <v>-100</v>
      </c>
      <c r="S112" s="249"/>
      <c r="T112" s="256">
        <f t="shared" si="18"/>
        <v>-100</v>
      </c>
      <c r="U112" s="256">
        <f t="shared" si="25"/>
        <v>-100</v>
      </c>
      <c r="V112" s="250">
        <f t="shared" si="23"/>
        <v>0</v>
      </c>
      <c r="W112" s="267"/>
      <c r="X112" s="49"/>
      <c r="Y112" s="21"/>
    </row>
    <row r="113" spans="1:25" ht="12" customHeight="1" hidden="1">
      <c r="A113" s="12" t="s">
        <v>31</v>
      </c>
      <c r="B113" s="13" t="s">
        <v>86</v>
      </c>
      <c r="C113" s="40" t="s">
        <v>77</v>
      </c>
      <c r="D113" s="219">
        <f>D80*D81+D83*12*D84</f>
        <v>0</v>
      </c>
      <c r="E113" s="229"/>
      <c r="F113" s="219">
        <f>F80*F81+F83*12*F84</f>
        <v>0</v>
      </c>
      <c r="G113" s="229"/>
      <c r="H113" s="230"/>
      <c r="I113" s="216">
        <f>I80*I81+I83*12*I84</f>
        <v>0</v>
      </c>
      <c r="J113" s="230"/>
      <c r="K113" s="214" t="e">
        <f t="shared" si="19"/>
        <v>#DIV/0!</v>
      </c>
      <c r="L113" s="216" t="e">
        <f>L80*L81+L83*12*L84</f>
        <v>#DIV/0!</v>
      </c>
      <c r="M113" s="214" t="e">
        <f t="shared" si="20"/>
        <v>#DIV/0!</v>
      </c>
      <c r="N113" s="223" t="e">
        <f t="shared" si="21"/>
        <v>#DIV/0!</v>
      </c>
      <c r="O113" s="223"/>
      <c r="P113" s="223"/>
      <c r="Q113" s="249"/>
      <c r="R113" s="250">
        <f t="shared" si="24"/>
        <v>-100</v>
      </c>
      <c r="S113" s="249"/>
      <c r="T113" s="251">
        <f t="shared" si="18"/>
        <v>-100</v>
      </c>
      <c r="U113" s="251">
        <f t="shared" si="25"/>
        <v>-100</v>
      </c>
      <c r="V113" s="250" t="e">
        <f t="shared" si="23"/>
        <v>#DIV/0!</v>
      </c>
      <c r="W113" s="267"/>
      <c r="X113" s="49"/>
      <c r="Y113" s="21"/>
    </row>
    <row r="114" spans="1:25" ht="12" customHeight="1" hidden="1">
      <c r="A114" s="12" t="s">
        <v>31</v>
      </c>
      <c r="B114" s="13" t="s">
        <v>87</v>
      </c>
      <c r="C114" s="40" t="s">
        <v>77</v>
      </c>
      <c r="D114" s="219">
        <f>D86*D87+D89*12*D90</f>
        <v>0</v>
      </c>
      <c r="E114" s="229"/>
      <c r="F114" s="219">
        <f>F86*F87+F89*12*F90</f>
        <v>0</v>
      </c>
      <c r="G114" s="229"/>
      <c r="H114" s="230"/>
      <c r="I114" s="216">
        <f>I86*I87+I89*12*I90</f>
        <v>0</v>
      </c>
      <c r="J114" s="230"/>
      <c r="K114" s="214" t="e">
        <f t="shared" si="19"/>
        <v>#DIV/0!</v>
      </c>
      <c r="L114" s="216" t="e">
        <f>L86*L87+L89*12*L90</f>
        <v>#DIV/0!</v>
      </c>
      <c r="M114" s="214" t="e">
        <f t="shared" si="20"/>
        <v>#DIV/0!</v>
      </c>
      <c r="N114" s="223" t="e">
        <f t="shared" si="21"/>
        <v>#DIV/0!</v>
      </c>
      <c r="O114" s="223"/>
      <c r="P114" s="223"/>
      <c r="Q114" s="249"/>
      <c r="R114" s="250">
        <f t="shared" si="24"/>
        <v>-100</v>
      </c>
      <c r="S114" s="249"/>
      <c r="T114" s="251">
        <f t="shared" si="18"/>
        <v>-100</v>
      </c>
      <c r="U114" s="251">
        <f t="shared" si="25"/>
        <v>-100</v>
      </c>
      <c r="V114" s="250" t="e">
        <f t="shared" si="23"/>
        <v>#DIV/0!</v>
      </c>
      <c r="W114" s="267"/>
      <c r="X114" s="49"/>
      <c r="Y114" s="21"/>
    </row>
    <row r="115" spans="1:25" ht="12" customHeight="1" hidden="1">
      <c r="A115" s="12" t="s">
        <v>31</v>
      </c>
      <c r="B115" s="13" t="s">
        <v>88</v>
      </c>
      <c r="C115" s="40" t="s">
        <v>77</v>
      </c>
      <c r="D115" s="219">
        <f>D92*D93+D95*12*D96</f>
        <v>0</v>
      </c>
      <c r="E115" s="229"/>
      <c r="F115" s="219">
        <f>F92*F93+F95*12*F96</f>
        <v>0</v>
      </c>
      <c r="G115" s="229"/>
      <c r="H115" s="230"/>
      <c r="I115" s="216">
        <f>I92*I93+I95*12*I96</f>
        <v>0</v>
      </c>
      <c r="J115" s="230"/>
      <c r="K115" s="214" t="e">
        <f t="shared" si="19"/>
        <v>#DIV/0!</v>
      </c>
      <c r="L115" s="216" t="e">
        <f>L92*L93+L95*12*L96</f>
        <v>#DIV/0!</v>
      </c>
      <c r="M115" s="214" t="e">
        <f t="shared" si="20"/>
        <v>#DIV/0!</v>
      </c>
      <c r="N115" s="223" t="e">
        <f t="shared" si="21"/>
        <v>#DIV/0!</v>
      </c>
      <c r="O115" s="223"/>
      <c r="P115" s="223"/>
      <c r="Q115" s="249"/>
      <c r="R115" s="250">
        <f t="shared" si="24"/>
        <v>-100</v>
      </c>
      <c r="S115" s="249"/>
      <c r="T115" s="251">
        <f t="shared" si="18"/>
        <v>-100</v>
      </c>
      <c r="U115" s="251">
        <f t="shared" si="25"/>
        <v>-100</v>
      </c>
      <c r="V115" s="250" t="e">
        <f t="shared" si="23"/>
        <v>#DIV/0!</v>
      </c>
      <c r="W115" s="267"/>
      <c r="X115" s="49"/>
      <c r="Y115" s="21"/>
    </row>
    <row r="116" spans="1:24" s="33" customFormat="1" ht="12" customHeight="1">
      <c r="A116" s="174">
        <v>12</v>
      </c>
      <c r="B116" s="167" t="s">
        <v>68</v>
      </c>
      <c r="C116" s="176" t="s">
        <v>77</v>
      </c>
      <c r="D116" s="181">
        <f>D100*D99</f>
        <v>0</v>
      </c>
      <c r="E116" s="228"/>
      <c r="F116" s="181">
        <f>F100*F99</f>
        <v>0</v>
      </c>
      <c r="G116" s="228"/>
      <c r="H116" s="266">
        <f>H99*H100</f>
        <v>0.7874266373279999</v>
      </c>
      <c r="I116" s="181">
        <f>I100*I99</f>
        <v>0.7762836574761319</v>
      </c>
      <c r="J116" s="266">
        <f>J99*J100</f>
        <v>0.8661693010607999</v>
      </c>
      <c r="K116" s="346">
        <f t="shared" si="19"/>
        <v>10.000000000000014</v>
      </c>
      <c r="L116" s="346">
        <f>L100*L99</f>
        <v>0.8539120232237453</v>
      </c>
      <c r="M116" s="346">
        <f t="shared" si="20"/>
        <v>10.000000000000014</v>
      </c>
      <c r="N116" s="181">
        <f t="shared" si="21"/>
        <v>1188.1889118356817</v>
      </c>
      <c r="O116" s="181">
        <f aca="true" t="shared" si="26" ref="O116:P118">L116/($L$163+1E-103)*100</f>
        <v>0.259254610196116</v>
      </c>
      <c r="P116" s="181">
        <f t="shared" si="26"/>
        <v>3.0360810381538035</v>
      </c>
      <c r="Q116" s="172">
        <f>Q100*Q99</f>
        <v>0</v>
      </c>
      <c r="R116" s="172">
        <f t="shared" si="24"/>
        <v>-100</v>
      </c>
      <c r="S116" s="172">
        <f>S100*S99</f>
        <v>0</v>
      </c>
      <c r="T116" s="171">
        <f t="shared" si="18"/>
        <v>-100</v>
      </c>
      <c r="U116" s="171">
        <f t="shared" si="25"/>
        <v>-100</v>
      </c>
      <c r="V116" s="172">
        <f t="shared" si="23"/>
        <v>-10.000000000000014</v>
      </c>
      <c r="W116" s="175"/>
      <c r="X116" s="50"/>
    </row>
    <row r="117" spans="1:24" s="33" customFormat="1" ht="12" customHeight="1">
      <c r="A117" s="174">
        <v>13</v>
      </c>
      <c r="B117" s="167" t="s">
        <v>89</v>
      </c>
      <c r="C117" s="176" t="s">
        <v>77</v>
      </c>
      <c r="D117" s="228"/>
      <c r="E117" s="228"/>
      <c r="F117" s="228"/>
      <c r="G117" s="228"/>
      <c r="H117" s="266">
        <v>0.65</v>
      </c>
      <c r="I117" s="228">
        <v>0.5</v>
      </c>
      <c r="J117" s="266">
        <v>0.65</v>
      </c>
      <c r="K117" s="346">
        <f t="shared" si="19"/>
        <v>0</v>
      </c>
      <c r="L117" s="393">
        <v>0.5</v>
      </c>
      <c r="M117" s="346">
        <f t="shared" si="20"/>
        <v>0</v>
      </c>
      <c r="N117" s="181">
        <f t="shared" si="21"/>
        <v>-100</v>
      </c>
      <c r="O117" s="181">
        <f t="shared" si="26"/>
        <v>0.15180405190768997</v>
      </c>
      <c r="P117" s="181">
        <f t="shared" si="26"/>
        <v>0</v>
      </c>
      <c r="Q117" s="178">
        <f>F117</f>
        <v>0</v>
      </c>
      <c r="R117" s="172">
        <f t="shared" si="24"/>
        <v>-100</v>
      </c>
      <c r="S117" s="172">
        <f>Q117*1.03</f>
        <v>0</v>
      </c>
      <c r="T117" s="171">
        <f t="shared" si="18"/>
        <v>-100</v>
      </c>
      <c r="U117" s="171">
        <f t="shared" si="25"/>
        <v>-100</v>
      </c>
      <c r="V117" s="172">
        <f t="shared" si="23"/>
        <v>0</v>
      </c>
      <c r="W117" s="175"/>
      <c r="X117" s="50"/>
    </row>
    <row r="118" spans="1:24" s="33" customFormat="1" ht="12" customHeight="1">
      <c r="A118" s="174">
        <v>14</v>
      </c>
      <c r="B118" s="167" t="s">
        <v>90</v>
      </c>
      <c r="C118" s="176" t="s">
        <v>77</v>
      </c>
      <c r="D118" s="228"/>
      <c r="E118" s="228"/>
      <c r="F118" s="228"/>
      <c r="G118" s="228"/>
      <c r="H118" s="266">
        <v>60</v>
      </c>
      <c r="I118" s="228">
        <v>60</v>
      </c>
      <c r="J118" s="266">
        <f>L118</f>
        <v>64.25999999999999</v>
      </c>
      <c r="K118" s="346">
        <f t="shared" si="19"/>
        <v>7.099999999999994</v>
      </c>
      <c r="L118" s="393">
        <f>I118*1.071</f>
        <v>64.25999999999999</v>
      </c>
      <c r="M118" s="346">
        <f t="shared" si="20"/>
        <v>7.099999999999994</v>
      </c>
      <c r="N118" s="181">
        <f t="shared" si="21"/>
        <v>-88.16666666666667</v>
      </c>
      <c r="O118" s="181">
        <f t="shared" si="26"/>
        <v>19.50985675117631</v>
      </c>
      <c r="P118" s="181">
        <f t="shared" si="26"/>
        <v>2.1556175370891957</v>
      </c>
      <c r="Q118" s="178">
        <f>F118</f>
        <v>0</v>
      </c>
      <c r="R118" s="172">
        <f t="shared" si="24"/>
        <v>-100</v>
      </c>
      <c r="S118" s="172">
        <f>Q118*1.051</f>
        <v>0</v>
      </c>
      <c r="T118" s="171">
        <f t="shared" si="18"/>
        <v>-100</v>
      </c>
      <c r="U118" s="171">
        <f t="shared" si="25"/>
        <v>-100</v>
      </c>
      <c r="V118" s="172">
        <f t="shared" si="23"/>
        <v>-7.099999999999994</v>
      </c>
      <c r="W118" s="175"/>
      <c r="X118" s="50"/>
    </row>
    <row r="119" spans="1:24" ht="12" customHeight="1">
      <c r="A119" s="12"/>
      <c r="B119" s="13" t="s">
        <v>91</v>
      </c>
      <c r="C119" s="131" t="s">
        <v>92</v>
      </c>
      <c r="D119" s="219">
        <f>D118/12/(D120+1E-100)*1000</f>
        <v>0</v>
      </c>
      <c r="E119" s="214">
        <f>E118/12/(E120+1E-100)*1000</f>
        <v>0</v>
      </c>
      <c r="F119" s="219">
        <f>F118/12/(F120+1E-100)*1000</f>
        <v>0</v>
      </c>
      <c r="G119" s="214">
        <f>G118/3/(G120+1E-100)*1000</f>
        <v>0</v>
      </c>
      <c r="H119" s="214">
        <f>H118/12/(H120+1E-100)*1000</f>
        <v>5000</v>
      </c>
      <c r="I119" s="216">
        <f>I118/12/(I120+1E-100)*1000</f>
        <v>5000</v>
      </c>
      <c r="J119" s="214">
        <f>J118/12/(J120+1E-100)*1000</f>
        <v>5354.999999999999</v>
      </c>
      <c r="K119" s="214">
        <f t="shared" si="19"/>
        <v>7.099999999999966</v>
      </c>
      <c r="L119" s="219">
        <f>L118/12/(L120+1E-100)*1000</f>
        <v>5354.999999999999</v>
      </c>
      <c r="M119" s="214">
        <f t="shared" si="20"/>
        <v>7.099999999999966</v>
      </c>
      <c r="N119" s="223">
        <f t="shared" si="21"/>
        <v>-99.858</v>
      </c>
      <c r="O119" s="223"/>
      <c r="P119" s="223"/>
      <c r="Q119" s="249">
        <f>Q118/12/(Q120+1E-100)*1000</f>
        <v>0</v>
      </c>
      <c r="R119" s="250">
        <f t="shared" si="24"/>
        <v>-100</v>
      </c>
      <c r="S119" s="249">
        <f>S118/12/(S120+1E-100)*1000</f>
        <v>0</v>
      </c>
      <c r="T119" s="256">
        <f t="shared" si="18"/>
        <v>-100</v>
      </c>
      <c r="U119" s="256">
        <f t="shared" si="25"/>
        <v>-100</v>
      </c>
      <c r="V119" s="250">
        <f t="shared" si="23"/>
        <v>-7.099999999999966</v>
      </c>
      <c r="W119" s="267"/>
      <c r="X119" s="49"/>
    </row>
    <row r="120" spans="1:24" ht="12" customHeight="1">
      <c r="A120" s="12"/>
      <c r="B120" s="13" t="s">
        <v>93</v>
      </c>
      <c r="C120" s="131" t="s">
        <v>94</v>
      </c>
      <c r="D120" s="141"/>
      <c r="E120" s="229"/>
      <c r="F120" s="141"/>
      <c r="G120" s="229"/>
      <c r="H120" s="268">
        <v>1</v>
      </c>
      <c r="I120" s="220">
        <v>1</v>
      </c>
      <c r="J120" s="268">
        <v>1</v>
      </c>
      <c r="K120" s="214">
        <f t="shared" si="19"/>
        <v>0</v>
      </c>
      <c r="L120" s="141">
        <v>1</v>
      </c>
      <c r="M120" s="214">
        <f t="shared" si="20"/>
        <v>0</v>
      </c>
      <c r="N120" s="223">
        <f t="shared" si="21"/>
        <v>-100</v>
      </c>
      <c r="O120" s="223"/>
      <c r="P120" s="223"/>
      <c r="Q120" s="249">
        <f>F120</f>
        <v>0</v>
      </c>
      <c r="R120" s="250">
        <f t="shared" si="24"/>
        <v>-100</v>
      </c>
      <c r="S120" s="249">
        <f>F120</f>
        <v>0</v>
      </c>
      <c r="T120" s="256">
        <f t="shared" si="18"/>
        <v>-100</v>
      </c>
      <c r="U120" s="256">
        <f t="shared" si="25"/>
        <v>-100</v>
      </c>
      <c r="V120" s="250">
        <f t="shared" si="23"/>
        <v>0</v>
      </c>
      <c r="W120" s="267"/>
      <c r="X120" s="49"/>
    </row>
    <row r="121" spans="1:24" s="33" customFormat="1" ht="12.75" customHeight="1">
      <c r="A121" s="174">
        <v>15</v>
      </c>
      <c r="B121" s="167" t="s">
        <v>171</v>
      </c>
      <c r="C121" s="168" t="s">
        <v>77</v>
      </c>
      <c r="D121" s="228"/>
      <c r="E121" s="231"/>
      <c r="F121" s="228"/>
      <c r="G121" s="231"/>
      <c r="H121" s="228">
        <v>18.1</v>
      </c>
      <c r="I121" s="228">
        <f>I118*0.342</f>
        <v>20.520000000000003</v>
      </c>
      <c r="J121" s="228">
        <f>L121</f>
        <v>19.406519999999997</v>
      </c>
      <c r="K121" s="346">
        <f t="shared" si="19"/>
        <v>7.218342541436428</v>
      </c>
      <c r="L121" s="393">
        <f>L118*0.302</f>
        <v>19.406519999999997</v>
      </c>
      <c r="M121" s="346">
        <f t="shared" si="20"/>
        <v>-5.426315789473719</v>
      </c>
      <c r="N121" s="182">
        <f t="shared" si="21"/>
        <v>-126.44403406176276</v>
      </c>
      <c r="O121" s="181">
        <f aca="true" t="shared" si="27" ref="O121:P123">L121/($L$163+1E-103)*100</f>
        <v>5.891976738855246</v>
      </c>
      <c r="P121" s="181">
        <f t="shared" si="27"/>
        <v>-1.6474734475455721</v>
      </c>
      <c r="Q121" s="177">
        <f>F121</f>
        <v>0</v>
      </c>
      <c r="R121" s="265">
        <f t="shared" si="24"/>
        <v>-100</v>
      </c>
      <c r="S121" s="177">
        <f>S118*0.342</f>
        <v>0</v>
      </c>
      <c r="T121" s="264">
        <f t="shared" si="18"/>
        <v>-100</v>
      </c>
      <c r="U121" s="264">
        <f t="shared" si="25"/>
        <v>-100</v>
      </c>
      <c r="V121" s="265">
        <f t="shared" si="23"/>
        <v>-7.218342541436428</v>
      </c>
      <c r="W121" s="269"/>
      <c r="X121" s="50"/>
    </row>
    <row r="122" spans="1:24" s="33" customFormat="1" ht="12" customHeight="1">
      <c r="A122" s="174">
        <v>16</v>
      </c>
      <c r="B122" s="167" t="s">
        <v>95</v>
      </c>
      <c r="C122" s="168" t="s">
        <v>77</v>
      </c>
      <c r="D122" s="228"/>
      <c r="E122" s="231"/>
      <c r="F122" s="228"/>
      <c r="G122" s="231"/>
      <c r="H122" s="228">
        <v>18.8</v>
      </c>
      <c r="I122" s="228">
        <v>9.4</v>
      </c>
      <c r="J122" s="228">
        <v>18.8</v>
      </c>
      <c r="K122" s="346">
        <f t="shared" si="19"/>
        <v>0</v>
      </c>
      <c r="L122" s="346">
        <f>I122</f>
        <v>9.4</v>
      </c>
      <c r="M122" s="346">
        <f t="shared" si="20"/>
        <v>0</v>
      </c>
      <c r="N122" s="182">
        <f t="shared" si="21"/>
        <v>-100</v>
      </c>
      <c r="O122" s="181">
        <f t="shared" si="27"/>
        <v>2.8539161758645717</v>
      </c>
      <c r="P122" s="181">
        <f t="shared" si="27"/>
        <v>0</v>
      </c>
      <c r="Q122" s="270">
        <f>F122</f>
        <v>0</v>
      </c>
      <c r="R122" s="265">
        <f t="shared" si="24"/>
        <v>-100</v>
      </c>
      <c r="S122" s="270">
        <f>F122</f>
        <v>0</v>
      </c>
      <c r="T122" s="264">
        <f t="shared" si="18"/>
        <v>-100</v>
      </c>
      <c r="U122" s="264">
        <f t="shared" si="25"/>
        <v>-100</v>
      </c>
      <c r="V122" s="265">
        <f t="shared" si="23"/>
        <v>0</v>
      </c>
      <c r="W122" s="396" t="s">
        <v>227</v>
      </c>
      <c r="X122" s="50"/>
    </row>
    <row r="123" spans="1:24" s="33" customFormat="1" ht="12" customHeight="1">
      <c r="A123" s="174">
        <v>17</v>
      </c>
      <c r="B123" s="167" t="s">
        <v>96</v>
      </c>
      <c r="C123" s="168" t="s">
        <v>77</v>
      </c>
      <c r="D123" s="181">
        <f>D124+D125+D126</f>
        <v>0</v>
      </c>
      <c r="E123" s="181">
        <f aca="true" t="shared" si="28" ref="E123:L123">E124+E125+E126</f>
        <v>0</v>
      </c>
      <c r="F123" s="181">
        <f t="shared" si="28"/>
        <v>0</v>
      </c>
      <c r="G123" s="181">
        <f t="shared" si="28"/>
        <v>0</v>
      </c>
      <c r="H123" s="266">
        <f>H124+H125+H126</f>
        <v>16.8</v>
      </c>
      <c r="I123" s="181">
        <f t="shared" si="28"/>
        <v>10</v>
      </c>
      <c r="J123" s="266">
        <f>J124+J125+J126</f>
        <v>16.8</v>
      </c>
      <c r="K123" s="346">
        <f t="shared" si="19"/>
        <v>0</v>
      </c>
      <c r="L123" s="346">
        <f t="shared" si="28"/>
        <v>10.489999999999998</v>
      </c>
      <c r="M123" s="346">
        <f t="shared" si="20"/>
        <v>4.8999999999999915</v>
      </c>
      <c r="N123" s="182">
        <f t="shared" si="21"/>
        <v>-51.000000000000085</v>
      </c>
      <c r="O123" s="181">
        <f t="shared" si="27"/>
        <v>3.184849009023335</v>
      </c>
      <c r="P123" s="181">
        <f t="shared" si="27"/>
        <v>1.487679708695359</v>
      </c>
      <c r="Q123" s="183">
        <f>Q126+Q125+Q124</f>
        <v>0</v>
      </c>
      <c r="R123" s="184">
        <f t="shared" si="24"/>
        <v>-100</v>
      </c>
      <c r="S123" s="183">
        <f>S126+S125+S124</f>
        <v>0</v>
      </c>
      <c r="T123" s="171">
        <f t="shared" si="18"/>
        <v>-100</v>
      </c>
      <c r="U123" s="171">
        <f t="shared" si="25"/>
        <v>-100</v>
      </c>
      <c r="V123" s="172">
        <f t="shared" si="23"/>
        <v>0</v>
      </c>
      <c r="W123" s="175"/>
      <c r="X123" s="50"/>
    </row>
    <row r="124" spans="1:24" ht="12" customHeight="1">
      <c r="A124" s="12" t="s">
        <v>31</v>
      </c>
      <c r="B124" s="13" t="s">
        <v>97</v>
      </c>
      <c r="C124" s="40" t="s">
        <v>77</v>
      </c>
      <c r="D124" s="141"/>
      <c r="E124" s="229"/>
      <c r="F124" s="141"/>
      <c r="G124" s="229"/>
      <c r="H124" s="230">
        <v>14.4</v>
      </c>
      <c r="I124" s="220"/>
      <c r="J124" s="230">
        <v>14.4</v>
      </c>
      <c r="K124" s="214">
        <f t="shared" si="19"/>
        <v>0</v>
      </c>
      <c r="L124" s="141"/>
      <c r="M124" s="214"/>
      <c r="N124" s="223">
        <f t="shared" si="21"/>
        <v>-100</v>
      </c>
      <c r="O124" s="223"/>
      <c r="P124" s="223"/>
      <c r="Q124" s="271">
        <f>F124</f>
        <v>0</v>
      </c>
      <c r="R124" s="272">
        <f t="shared" si="24"/>
        <v>-100</v>
      </c>
      <c r="S124" s="257">
        <f>F124*1.03</f>
        <v>0</v>
      </c>
      <c r="T124" s="256">
        <f t="shared" si="18"/>
        <v>-100</v>
      </c>
      <c r="U124" s="256">
        <f t="shared" si="25"/>
        <v>-100</v>
      </c>
      <c r="V124" s="250">
        <f t="shared" si="23"/>
        <v>0</v>
      </c>
      <c r="W124" s="267"/>
      <c r="X124" s="49"/>
    </row>
    <row r="125" spans="1:24" ht="12" customHeight="1">
      <c r="A125" s="12" t="s">
        <v>31</v>
      </c>
      <c r="B125" s="13" t="s">
        <v>98</v>
      </c>
      <c r="C125" s="40" t="s">
        <v>77</v>
      </c>
      <c r="D125" s="141"/>
      <c r="E125" s="229"/>
      <c r="F125" s="141"/>
      <c r="G125" s="229"/>
      <c r="H125" s="230">
        <v>0</v>
      </c>
      <c r="I125" s="220">
        <v>10</v>
      </c>
      <c r="J125" s="230">
        <v>0</v>
      </c>
      <c r="K125" s="214"/>
      <c r="L125" s="141">
        <f>I125*1.049</f>
        <v>10.489999999999998</v>
      </c>
      <c r="M125" s="214">
        <f t="shared" si="20"/>
        <v>4.8999999999999915</v>
      </c>
      <c r="N125" s="223">
        <f t="shared" si="21"/>
        <v>-51.000000000000085</v>
      </c>
      <c r="O125" s="223"/>
      <c r="P125" s="223"/>
      <c r="Q125" s="271">
        <f>F125</f>
        <v>0</v>
      </c>
      <c r="R125" s="272">
        <f t="shared" si="24"/>
        <v>-100</v>
      </c>
      <c r="S125" s="257">
        <f>F125*1.03</f>
        <v>0</v>
      </c>
      <c r="T125" s="256">
        <f t="shared" si="18"/>
        <v>-100</v>
      </c>
      <c r="U125" s="256">
        <f t="shared" si="25"/>
        <v>-100</v>
      </c>
      <c r="V125" s="250">
        <f t="shared" si="23"/>
        <v>0</v>
      </c>
      <c r="W125" s="267"/>
      <c r="X125" s="49"/>
    </row>
    <row r="126" spans="1:24" ht="12" customHeight="1">
      <c r="A126" s="12" t="s">
        <v>31</v>
      </c>
      <c r="B126" s="13" t="s">
        <v>99</v>
      </c>
      <c r="C126" s="40" t="s">
        <v>77</v>
      </c>
      <c r="D126" s="141"/>
      <c r="E126" s="229"/>
      <c r="F126" s="141"/>
      <c r="G126" s="229"/>
      <c r="H126" s="230">
        <v>2.4</v>
      </c>
      <c r="I126" s="220"/>
      <c r="J126" s="230">
        <v>2.4</v>
      </c>
      <c r="K126" s="214">
        <f t="shared" si="19"/>
        <v>0</v>
      </c>
      <c r="L126" s="141"/>
      <c r="M126" s="214"/>
      <c r="N126" s="223">
        <f t="shared" si="21"/>
        <v>-100</v>
      </c>
      <c r="O126" s="223"/>
      <c r="P126" s="223"/>
      <c r="Q126" s="271">
        <f>F126</f>
        <v>0</v>
      </c>
      <c r="R126" s="272"/>
      <c r="S126" s="257">
        <f>F126*1.03</f>
        <v>0</v>
      </c>
      <c r="T126" s="256">
        <f t="shared" si="18"/>
        <v>-100</v>
      </c>
      <c r="U126" s="256">
        <f t="shared" si="25"/>
        <v>-100</v>
      </c>
      <c r="V126" s="250"/>
      <c r="W126" s="267"/>
      <c r="X126" s="49"/>
    </row>
    <row r="127" spans="1:24" s="33" customFormat="1" ht="12" customHeight="1">
      <c r="A127" s="174">
        <v>18</v>
      </c>
      <c r="B127" s="167" t="s">
        <v>100</v>
      </c>
      <c r="C127" s="168" t="s">
        <v>77</v>
      </c>
      <c r="D127" s="181">
        <f aca="true" t="shared" si="29" ref="D127:J127">D128+D131+D132</f>
        <v>0</v>
      </c>
      <c r="E127" s="181">
        <f t="shared" si="29"/>
        <v>0</v>
      </c>
      <c r="F127" s="181">
        <f t="shared" si="29"/>
        <v>0</v>
      </c>
      <c r="G127" s="181">
        <f t="shared" si="29"/>
        <v>0</v>
      </c>
      <c r="H127" s="266">
        <f t="shared" si="29"/>
        <v>132.8</v>
      </c>
      <c r="I127" s="266">
        <f t="shared" si="29"/>
        <v>69.8987</v>
      </c>
      <c r="J127" s="266">
        <f t="shared" si="29"/>
        <v>72.5129337</v>
      </c>
      <c r="K127" s="346">
        <f t="shared" si="19"/>
        <v>-45.396887274096386</v>
      </c>
      <c r="L127" s="394">
        <f>L128+L131+L132</f>
        <v>72.65993370000001</v>
      </c>
      <c r="M127" s="346">
        <f t="shared" si="20"/>
        <v>3.950336272348423</v>
      </c>
      <c r="N127" s="346">
        <f t="shared" si="21"/>
        <v>-94.34848391694206</v>
      </c>
      <c r="O127" s="181">
        <f>L127/($L$163+1E-103)*100</f>
        <v>22.060144694008226</v>
      </c>
      <c r="P127" s="181">
        <f>M127/($L$163+1E-103)*100</f>
        <v>1.199354105080821</v>
      </c>
      <c r="Q127" s="180">
        <f>P128+P131+P132</f>
        <v>0</v>
      </c>
      <c r="R127" s="172">
        <f>Q127/(F127+1E-106)*100-100</f>
        <v>-100</v>
      </c>
      <c r="S127" s="180">
        <f>R128+R131+R132</f>
        <v>0</v>
      </c>
      <c r="T127" s="171">
        <f t="shared" si="18"/>
        <v>-100</v>
      </c>
      <c r="U127" s="171">
        <f t="shared" si="25"/>
        <v>-100</v>
      </c>
      <c r="V127" s="172">
        <f aca="true" t="shared" si="30" ref="U127:V156">S127-K127</f>
        <v>45.396887274096386</v>
      </c>
      <c r="W127" s="175"/>
      <c r="X127" s="50"/>
    </row>
    <row r="128" spans="1:23" ht="12" customHeight="1">
      <c r="A128" s="12" t="s">
        <v>31</v>
      </c>
      <c r="B128" s="13" t="s">
        <v>101</v>
      </c>
      <c r="C128" s="40" t="s">
        <v>77</v>
      </c>
      <c r="D128" s="141"/>
      <c r="E128" s="229"/>
      <c r="F128" s="141"/>
      <c r="G128" s="229"/>
      <c r="H128" s="229">
        <v>99.7</v>
      </c>
      <c r="I128" s="322">
        <f>H129*12/2/1000</f>
        <v>49.85</v>
      </c>
      <c r="J128" s="229">
        <f>L128</f>
        <v>53.38935</v>
      </c>
      <c r="K128" s="214">
        <f t="shared" si="19"/>
        <v>-46.45</v>
      </c>
      <c r="L128" s="141">
        <f>I128*1.071</f>
        <v>53.38935</v>
      </c>
      <c r="M128" s="214">
        <f t="shared" si="20"/>
        <v>7.099999999999994</v>
      </c>
      <c r="N128" s="223">
        <f aca="true" t="shared" si="31" ref="N128:N133">L128-J128</f>
        <v>0</v>
      </c>
      <c r="O128" s="223"/>
      <c r="P128" s="249">
        <f>F128</f>
        <v>0</v>
      </c>
      <c r="Q128" s="250">
        <f aca="true" t="shared" si="32" ref="Q128:Q156">P128/(F128+1E-106)*100-100</f>
        <v>-100</v>
      </c>
      <c r="R128" s="273">
        <f>P128*1.051</f>
        <v>0</v>
      </c>
      <c r="S128" s="256">
        <f aca="true" t="shared" si="33" ref="S128:S156">R128/(P128+1E-106)*100-100</f>
        <v>-100</v>
      </c>
      <c r="T128" s="256">
        <f aca="true" t="shared" si="34" ref="T128:T156">R128/(F128+1E-106)*100-100</f>
        <v>-100</v>
      </c>
      <c r="U128" s="250">
        <f t="shared" si="30"/>
        <v>-53.38935</v>
      </c>
      <c r="V128" s="267" t="e">
        <f>R128/($R$163+1E-103)*100</f>
        <v>#REF!</v>
      </c>
      <c r="W128" s="46"/>
    </row>
    <row r="129" spans="1:23" ht="12" customHeight="1">
      <c r="A129" s="12"/>
      <c r="B129" s="13" t="s">
        <v>102</v>
      </c>
      <c r="C129" s="131" t="s">
        <v>92</v>
      </c>
      <c r="D129" s="219">
        <f aca="true" t="shared" si="35" ref="D129:J129">D128/12/(D130+1E-100)*1000</f>
        <v>0</v>
      </c>
      <c r="E129" s="214">
        <f t="shared" si="35"/>
        <v>0</v>
      </c>
      <c r="F129" s="219">
        <f t="shared" si="35"/>
        <v>0</v>
      </c>
      <c r="G129" s="214">
        <f>G128/3/(G130+1E-100)*1000</f>
        <v>0</v>
      </c>
      <c r="H129" s="214">
        <f>H128/12/(H130+1E-100)*1000</f>
        <v>8308.333333333334</v>
      </c>
      <c r="I129" s="337">
        <f>I128/12/(I130+1E-100)*1000</f>
        <v>8308.333333333334</v>
      </c>
      <c r="J129" s="214">
        <f t="shared" si="35"/>
        <v>4449.1125</v>
      </c>
      <c r="K129" s="214">
        <f t="shared" si="19"/>
        <v>-46.45</v>
      </c>
      <c r="L129" s="219">
        <f>L128/12/(L130+1E-100)*1000</f>
        <v>8898.225</v>
      </c>
      <c r="M129" s="214">
        <f t="shared" si="20"/>
        <v>7.099999999999994</v>
      </c>
      <c r="N129" s="223">
        <f t="shared" si="31"/>
        <v>4449.1125</v>
      </c>
      <c r="O129" s="223"/>
      <c r="P129" s="26">
        <f>F129</f>
        <v>0</v>
      </c>
      <c r="Q129" s="16">
        <f t="shared" si="32"/>
        <v>-100</v>
      </c>
      <c r="R129" s="26">
        <f>R128/12/(R130+1E-100)*1000</f>
        <v>0</v>
      </c>
      <c r="S129" s="17">
        <f t="shared" si="33"/>
        <v>-100</v>
      </c>
      <c r="T129" s="17">
        <f t="shared" si="34"/>
        <v>-100</v>
      </c>
      <c r="U129" s="16">
        <f t="shared" si="30"/>
        <v>-4449.1125</v>
      </c>
      <c r="V129" s="36"/>
      <c r="W129" s="46"/>
    </row>
    <row r="130" spans="1:23" ht="12" customHeight="1">
      <c r="A130" s="12"/>
      <c r="B130" s="13" t="s">
        <v>93</v>
      </c>
      <c r="C130" s="131" t="s">
        <v>94</v>
      </c>
      <c r="D130" s="141"/>
      <c r="E130" s="229"/>
      <c r="F130" s="141"/>
      <c r="G130" s="229"/>
      <c r="H130" s="229">
        <v>1</v>
      </c>
      <c r="I130" s="322">
        <v>0.5</v>
      </c>
      <c r="J130" s="229">
        <v>1</v>
      </c>
      <c r="K130" s="214">
        <f t="shared" si="19"/>
        <v>0</v>
      </c>
      <c r="L130" s="141">
        <f>I130</f>
        <v>0.5</v>
      </c>
      <c r="M130" s="214">
        <f t="shared" si="20"/>
        <v>0</v>
      </c>
      <c r="N130" s="223">
        <f t="shared" si="31"/>
        <v>-0.5</v>
      </c>
      <c r="O130" s="223"/>
      <c r="P130" s="249">
        <f>F130</f>
        <v>0</v>
      </c>
      <c r="Q130" s="250">
        <f t="shared" si="32"/>
        <v>-100</v>
      </c>
      <c r="R130" s="249">
        <f>F130</f>
        <v>0</v>
      </c>
      <c r="S130" s="256">
        <f t="shared" si="33"/>
        <v>-100</v>
      </c>
      <c r="T130" s="256">
        <f t="shared" si="34"/>
        <v>-100</v>
      </c>
      <c r="U130" s="250">
        <f t="shared" si="30"/>
        <v>-1</v>
      </c>
      <c r="V130" s="267" t="e">
        <f>R130/($R$163+1E-103)*100</f>
        <v>#REF!</v>
      </c>
      <c r="W130" s="46"/>
    </row>
    <row r="131" spans="1:23" ht="12" customHeight="1">
      <c r="A131" s="12" t="s">
        <v>31</v>
      </c>
      <c r="B131" s="4" t="s">
        <v>171</v>
      </c>
      <c r="C131" s="40" t="s">
        <v>77</v>
      </c>
      <c r="D131" s="141"/>
      <c r="E131" s="229"/>
      <c r="F131" s="141"/>
      <c r="G131" s="229"/>
      <c r="H131" s="229">
        <v>30.1</v>
      </c>
      <c r="I131" s="322">
        <f>I128*0.342</f>
        <v>17.0487</v>
      </c>
      <c r="J131" s="229">
        <f>L131</f>
        <v>16.1235837</v>
      </c>
      <c r="K131" s="214">
        <f t="shared" si="19"/>
        <v>-46.433276744186045</v>
      </c>
      <c r="L131" s="141">
        <f>L128*0.302</f>
        <v>16.1235837</v>
      </c>
      <c r="M131" s="214">
        <f t="shared" si="20"/>
        <v>-5.426315789473676</v>
      </c>
      <c r="N131" s="223">
        <f t="shared" si="31"/>
        <v>0</v>
      </c>
      <c r="O131" s="223"/>
      <c r="P131" s="249">
        <f>F131</f>
        <v>0</v>
      </c>
      <c r="Q131" s="250">
        <f t="shared" si="32"/>
        <v>-100</v>
      </c>
      <c r="R131" s="23">
        <f>R128*0.342</f>
        <v>0</v>
      </c>
      <c r="S131" s="256">
        <f t="shared" si="33"/>
        <v>-100</v>
      </c>
      <c r="T131" s="256">
        <f t="shared" si="34"/>
        <v>-100</v>
      </c>
      <c r="U131" s="250">
        <f t="shared" si="30"/>
        <v>-16.1235837</v>
      </c>
      <c r="V131" s="267" t="e">
        <f>R131/($R$163+1E-103)*100</f>
        <v>#REF!</v>
      </c>
      <c r="W131" s="46"/>
    </row>
    <row r="132" spans="1:23" ht="12" customHeight="1">
      <c r="A132" s="12" t="s">
        <v>31</v>
      </c>
      <c r="B132" s="13" t="s">
        <v>103</v>
      </c>
      <c r="C132" s="40" t="s">
        <v>77</v>
      </c>
      <c r="D132" s="141"/>
      <c r="E132" s="229"/>
      <c r="F132" s="141"/>
      <c r="G132" s="229"/>
      <c r="H132" s="229">
        <v>3</v>
      </c>
      <c r="I132" s="322">
        <v>3</v>
      </c>
      <c r="J132" s="229">
        <v>3</v>
      </c>
      <c r="K132" s="214">
        <f t="shared" si="19"/>
        <v>0</v>
      </c>
      <c r="L132" s="141">
        <f>I132*1.049</f>
        <v>3.147</v>
      </c>
      <c r="M132" s="214">
        <f t="shared" si="20"/>
        <v>4.8999999999999915</v>
      </c>
      <c r="N132" s="223">
        <f t="shared" si="31"/>
        <v>0.1469999999999998</v>
      </c>
      <c r="O132" s="223"/>
      <c r="P132" s="249">
        <f>F132</f>
        <v>0</v>
      </c>
      <c r="Q132" s="250">
        <f t="shared" si="32"/>
        <v>-100</v>
      </c>
      <c r="R132" s="249">
        <f>F132*1.03</f>
        <v>0</v>
      </c>
      <c r="S132" s="256">
        <f t="shared" si="33"/>
        <v>-100</v>
      </c>
      <c r="T132" s="256">
        <f t="shared" si="34"/>
        <v>-100</v>
      </c>
      <c r="U132" s="250">
        <f t="shared" si="30"/>
        <v>-3</v>
      </c>
      <c r="V132" s="267" t="e">
        <f>R132/($R$163+1E-103)*100</f>
        <v>#REF!</v>
      </c>
      <c r="W132" s="46"/>
    </row>
    <row r="133" spans="1:23" s="33" customFormat="1" ht="12" customHeight="1">
      <c r="A133" s="174">
        <v>19</v>
      </c>
      <c r="B133" s="185" t="s">
        <v>104</v>
      </c>
      <c r="C133" s="168" t="s">
        <v>77</v>
      </c>
      <c r="D133" s="181">
        <f aca="true" t="shared" si="36" ref="D133:J133">D134+D137+D138</f>
        <v>0</v>
      </c>
      <c r="E133" s="181">
        <f t="shared" si="36"/>
        <v>0</v>
      </c>
      <c r="F133" s="181">
        <f t="shared" si="36"/>
        <v>0</v>
      </c>
      <c r="G133" s="181">
        <f t="shared" si="36"/>
        <v>0</v>
      </c>
      <c r="H133" s="181">
        <f t="shared" si="36"/>
        <v>8</v>
      </c>
      <c r="I133" s="181">
        <f t="shared" si="36"/>
        <v>5</v>
      </c>
      <c r="J133" s="181">
        <f t="shared" si="36"/>
        <v>8</v>
      </c>
      <c r="K133" s="346">
        <f t="shared" si="19"/>
        <v>0</v>
      </c>
      <c r="L133" s="346">
        <f>L134+L137+L138</f>
        <v>5.244999999999999</v>
      </c>
      <c r="M133" s="346">
        <f t="shared" si="20"/>
        <v>4.8999999999999915</v>
      </c>
      <c r="N133" s="181">
        <f t="shared" si="31"/>
        <v>-2.755000000000001</v>
      </c>
      <c r="O133" s="181">
        <f>L133/($L$163+1E-103)*100</f>
        <v>1.5924245045116674</v>
      </c>
      <c r="P133" s="180">
        <f>P134+P137+P138</f>
        <v>0</v>
      </c>
      <c r="Q133" s="172">
        <f t="shared" si="32"/>
        <v>-100</v>
      </c>
      <c r="R133" s="180">
        <f>R134+R137+R138</f>
        <v>0</v>
      </c>
      <c r="S133" s="171">
        <f t="shared" si="33"/>
        <v>-100</v>
      </c>
      <c r="T133" s="171">
        <f t="shared" si="34"/>
        <v>-100</v>
      </c>
      <c r="U133" s="172">
        <f t="shared" si="30"/>
        <v>-8</v>
      </c>
      <c r="V133" s="175" t="e">
        <f>R133/($R$163+1E-103)*100</f>
        <v>#REF!</v>
      </c>
      <c r="W133" s="179"/>
    </row>
    <row r="134" spans="1:23" ht="12" customHeight="1" hidden="1">
      <c r="A134" s="12" t="s">
        <v>31</v>
      </c>
      <c r="B134" s="13" t="s">
        <v>101</v>
      </c>
      <c r="C134" s="40" t="s">
        <v>77</v>
      </c>
      <c r="D134" s="141"/>
      <c r="E134" s="229"/>
      <c r="F134" s="141"/>
      <c r="G134" s="229"/>
      <c r="H134" s="229"/>
      <c r="I134" s="322"/>
      <c r="J134" s="229"/>
      <c r="K134" s="214"/>
      <c r="L134" s="141"/>
      <c r="M134" s="214"/>
      <c r="N134" s="223"/>
      <c r="O134" s="223"/>
      <c r="P134" s="257">
        <f>F134</f>
        <v>0</v>
      </c>
      <c r="Q134" s="250">
        <f t="shared" si="32"/>
        <v>-100</v>
      </c>
      <c r="R134" s="273">
        <f>P134*1.051</f>
        <v>0</v>
      </c>
      <c r="S134" s="256">
        <f t="shared" si="33"/>
        <v>-100</v>
      </c>
      <c r="T134" s="256">
        <f t="shared" si="34"/>
        <v>-100</v>
      </c>
      <c r="U134" s="250">
        <f t="shared" si="30"/>
        <v>0</v>
      </c>
      <c r="V134" s="267" t="e">
        <f>R134/($R$163+1E-103)*100</f>
        <v>#REF!</v>
      </c>
      <c r="W134" s="46"/>
    </row>
    <row r="135" spans="1:23" ht="12" customHeight="1" hidden="1">
      <c r="A135" s="12"/>
      <c r="B135" s="13" t="s">
        <v>102</v>
      </c>
      <c r="C135" s="131" t="s">
        <v>92</v>
      </c>
      <c r="D135" s="219">
        <f>D134/12/(D136+1E-100)*1000</f>
        <v>0</v>
      </c>
      <c r="E135" s="214">
        <f>E134/12/(E136+1E-100)*1000</f>
        <v>0</v>
      </c>
      <c r="F135" s="219">
        <f>F134/12/(F136+1E-100)*1000</f>
        <v>0</v>
      </c>
      <c r="G135" s="214">
        <f>G134/3/(G136+1E-100)*1000</f>
        <v>0</v>
      </c>
      <c r="H135" s="214"/>
      <c r="I135" s="337"/>
      <c r="J135" s="214"/>
      <c r="K135" s="214"/>
      <c r="L135" s="219"/>
      <c r="M135" s="214"/>
      <c r="N135" s="223"/>
      <c r="O135" s="223"/>
      <c r="P135" s="38">
        <f>F135</f>
        <v>0</v>
      </c>
      <c r="Q135" s="16">
        <f t="shared" si="32"/>
        <v>-100</v>
      </c>
      <c r="R135" s="26">
        <f>R134/12/(R136+1E-100)*1000</f>
        <v>0</v>
      </c>
      <c r="S135" s="17">
        <f t="shared" si="33"/>
        <v>-100</v>
      </c>
      <c r="T135" s="17">
        <f t="shared" si="34"/>
        <v>-100</v>
      </c>
      <c r="U135" s="16">
        <f t="shared" si="30"/>
        <v>0</v>
      </c>
      <c r="V135" s="36"/>
      <c r="W135" s="46"/>
    </row>
    <row r="136" spans="1:23" ht="12" customHeight="1" hidden="1">
      <c r="A136" s="12"/>
      <c r="B136" s="13" t="s">
        <v>93</v>
      </c>
      <c r="C136" s="131" t="s">
        <v>94</v>
      </c>
      <c r="D136" s="141"/>
      <c r="E136" s="229"/>
      <c r="F136" s="141"/>
      <c r="G136" s="229"/>
      <c r="H136" s="229"/>
      <c r="I136" s="322"/>
      <c r="J136" s="229"/>
      <c r="K136" s="214"/>
      <c r="L136" s="141"/>
      <c r="M136" s="214"/>
      <c r="N136" s="223"/>
      <c r="O136" s="223"/>
      <c r="P136" s="257">
        <f>F136</f>
        <v>0</v>
      </c>
      <c r="Q136" s="250">
        <f t="shared" si="32"/>
        <v>-100</v>
      </c>
      <c r="R136" s="249">
        <f>F136</f>
        <v>0</v>
      </c>
      <c r="S136" s="256">
        <f t="shared" si="33"/>
        <v>-100</v>
      </c>
      <c r="T136" s="256">
        <f t="shared" si="34"/>
        <v>-100</v>
      </c>
      <c r="U136" s="250">
        <f t="shared" si="30"/>
        <v>0</v>
      </c>
      <c r="V136" s="267" t="e">
        <f aca="true" t="shared" si="37" ref="V136:V156">R136/($R$163+1E-103)*100</f>
        <v>#REF!</v>
      </c>
      <c r="W136" s="46"/>
    </row>
    <row r="137" spans="1:23" ht="12" customHeight="1" hidden="1">
      <c r="A137" s="12" t="s">
        <v>31</v>
      </c>
      <c r="B137" s="4" t="s">
        <v>171</v>
      </c>
      <c r="C137" s="40" t="s">
        <v>77</v>
      </c>
      <c r="D137" s="141"/>
      <c r="E137" s="229"/>
      <c r="F137" s="141"/>
      <c r="G137" s="229"/>
      <c r="H137" s="229"/>
      <c r="I137" s="322"/>
      <c r="J137" s="229"/>
      <c r="K137" s="214"/>
      <c r="L137" s="141"/>
      <c r="M137" s="214"/>
      <c r="N137" s="223"/>
      <c r="O137" s="223"/>
      <c r="P137" s="257">
        <f>F137</f>
        <v>0</v>
      </c>
      <c r="Q137" s="250">
        <f t="shared" si="32"/>
        <v>-100</v>
      </c>
      <c r="R137" s="23">
        <f>R134*0.342</f>
        <v>0</v>
      </c>
      <c r="S137" s="256">
        <f t="shared" si="33"/>
        <v>-100</v>
      </c>
      <c r="T137" s="256">
        <f t="shared" si="34"/>
        <v>-100</v>
      </c>
      <c r="U137" s="250">
        <f t="shared" si="30"/>
        <v>0</v>
      </c>
      <c r="V137" s="267" t="e">
        <f t="shared" si="37"/>
        <v>#REF!</v>
      </c>
      <c r="W137" s="46"/>
    </row>
    <row r="138" spans="1:23" ht="12" customHeight="1">
      <c r="A138" s="12" t="s">
        <v>31</v>
      </c>
      <c r="B138" s="13" t="s">
        <v>103</v>
      </c>
      <c r="C138" s="40" t="s">
        <v>77</v>
      </c>
      <c r="D138" s="141"/>
      <c r="E138" s="229"/>
      <c r="F138" s="141"/>
      <c r="G138" s="229"/>
      <c r="H138" s="229">
        <v>8</v>
      </c>
      <c r="I138" s="322">
        <v>5</v>
      </c>
      <c r="J138" s="229">
        <v>8</v>
      </c>
      <c r="K138" s="214">
        <f>J138/H138*100-100</f>
        <v>0</v>
      </c>
      <c r="L138" s="141">
        <f>I138*1.049</f>
        <v>5.244999999999999</v>
      </c>
      <c r="M138" s="214">
        <f>L138/I138*100-100</f>
        <v>4.8999999999999915</v>
      </c>
      <c r="N138" s="223">
        <f aca="true" t="shared" si="38" ref="N138:N155">L138-J138</f>
        <v>-2.755000000000001</v>
      </c>
      <c r="O138" s="223"/>
      <c r="P138" s="257">
        <f>F138</f>
        <v>0</v>
      </c>
      <c r="Q138" s="250">
        <f t="shared" si="32"/>
        <v>-100</v>
      </c>
      <c r="R138" s="249">
        <f>F138*1.03</f>
        <v>0</v>
      </c>
      <c r="S138" s="256">
        <f t="shared" si="33"/>
        <v>-100</v>
      </c>
      <c r="T138" s="256">
        <f t="shared" si="34"/>
        <v>-100</v>
      </c>
      <c r="U138" s="250">
        <f t="shared" si="30"/>
        <v>-8</v>
      </c>
      <c r="V138" s="267" t="e">
        <f t="shared" si="37"/>
        <v>#REF!</v>
      </c>
      <c r="W138" s="46"/>
    </row>
    <row r="139" spans="1:23" s="33" customFormat="1" ht="12" customHeight="1">
      <c r="A139" s="174">
        <v>20</v>
      </c>
      <c r="B139" s="167" t="s">
        <v>105</v>
      </c>
      <c r="C139" s="168" t="s">
        <v>77</v>
      </c>
      <c r="D139" s="181">
        <f>D140+D141+D142+D143</f>
        <v>0</v>
      </c>
      <c r="E139" s="181">
        <f aca="true" t="shared" si="39" ref="E139:L139">E140+E141+E142+E143</f>
        <v>0</v>
      </c>
      <c r="F139" s="181">
        <f t="shared" si="39"/>
        <v>0</v>
      </c>
      <c r="G139" s="181">
        <f t="shared" si="39"/>
        <v>0</v>
      </c>
      <c r="H139" s="181">
        <f>H140+H141+H142+H143</f>
        <v>5.8</v>
      </c>
      <c r="I139" s="181">
        <f>I140+I141+I142+I143</f>
        <v>5.8</v>
      </c>
      <c r="J139" s="181">
        <f t="shared" si="39"/>
        <v>5.8</v>
      </c>
      <c r="K139" s="346">
        <f>J139/H139*100-100</f>
        <v>0</v>
      </c>
      <c r="L139" s="346">
        <f t="shared" si="39"/>
        <v>5.888199999999999</v>
      </c>
      <c r="M139" s="346">
        <f>L139/I139*100-100</f>
        <v>1.5206896551724043</v>
      </c>
      <c r="N139" s="181">
        <f t="shared" si="38"/>
        <v>0.08819999999999961</v>
      </c>
      <c r="O139" s="181">
        <f>L139/($L$163+1E-103)*100</f>
        <v>1.7877052368857198</v>
      </c>
      <c r="P139" s="183">
        <f>P140+P141+P142+P143</f>
        <v>0</v>
      </c>
      <c r="Q139" s="172">
        <f t="shared" si="32"/>
        <v>-100</v>
      </c>
      <c r="R139" s="180">
        <f>R140+R141+R142+R143</f>
        <v>0</v>
      </c>
      <c r="S139" s="171">
        <f t="shared" si="33"/>
        <v>-100</v>
      </c>
      <c r="T139" s="171">
        <f t="shared" si="34"/>
        <v>-100</v>
      </c>
      <c r="U139" s="172">
        <f t="shared" si="30"/>
        <v>-5.8</v>
      </c>
      <c r="V139" s="175" t="e">
        <f t="shared" si="37"/>
        <v>#REF!</v>
      </c>
      <c r="W139" s="179"/>
    </row>
    <row r="140" spans="1:23" ht="25.5">
      <c r="A140" s="12" t="s">
        <v>31</v>
      </c>
      <c r="B140" s="13" t="s">
        <v>106</v>
      </c>
      <c r="C140" s="40" t="s">
        <v>77</v>
      </c>
      <c r="D140" s="141"/>
      <c r="E140" s="229"/>
      <c r="F140" s="141"/>
      <c r="G140" s="229"/>
      <c r="H140" s="229">
        <v>4</v>
      </c>
      <c r="I140" s="322">
        <v>4</v>
      </c>
      <c r="J140" s="229">
        <v>4</v>
      </c>
      <c r="K140" s="214">
        <f>J140/H140*100-100</f>
        <v>0</v>
      </c>
      <c r="L140" s="141">
        <f>I140</f>
        <v>4</v>
      </c>
      <c r="M140" s="214">
        <f>L140/I140*100-100</f>
        <v>0</v>
      </c>
      <c r="N140" s="223">
        <f t="shared" si="38"/>
        <v>0</v>
      </c>
      <c r="O140" s="223"/>
      <c r="P140" s="249">
        <f>F140</f>
        <v>0</v>
      </c>
      <c r="Q140" s="250">
        <f t="shared" si="32"/>
        <v>-100</v>
      </c>
      <c r="R140" s="249">
        <f>F140*1.03</f>
        <v>0</v>
      </c>
      <c r="S140" s="256">
        <f t="shared" si="33"/>
        <v>-100</v>
      </c>
      <c r="T140" s="256">
        <f t="shared" si="34"/>
        <v>-100</v>
      </c>
      <c r="U140" s="250">
        <f t="shared" si="30"/>
        <v>-4</v>
      </c>
      <c r="V140" s="267" t="e">
        <f t="shared" si="37"/>
        <v>#REF!</v>
      </c>
      <c r="W140" s="30"/>
    </row>
    <row r="141" spans="1:23" ht="12.75">
      <c r="A141" s="12" t="s">
        <v>31</v>
      </c>
      <c r="B141" s="13" t="s">
        <v>107</v>
      </c>
      <c r="C141" s="40" t="s">
        <v>77</v>
      </c>
      <c r="D141" s="141"/>
      <c r="E141" s="229"/>
      <c r="F141" s="141"/>
      <c r="G141" s="229"/>
      <c r="H141" s="229"/>
      <c r="I141" s="322"/>
      <c r="J141" s="229"/>
      <c r="K141" s="214"/>
      <c r="L141" s="141"/>
      <c r="M141" s="214"/>
      <c r="N141" s="223"/>
      <c r="O141" s="223"/>
      <c r="P141" s="249">
        <f>F141</f>
        <v>0</v>
      </c>
      <c r="Q141" s="250">
        <f t="shared" si="32"/>
        <v>-100</v>
      </c>
      <c r="R141" s="249">
        <f>F141*1.03</f>
        <v>0</v>
      </c>
      <c r="S141" s="256">
        <f t="shared" si="33"/>
        <v>-100</v>
      </c>
      <c r="T141" s="256">
        <f t="shared" si="34"/>
        <v>-100</v>
      </c>
      <c r="U141" s="250">
        <f t="shared" si="30"/>
        <v>0</v>
      </c>
      <c r="V141" s="267" t="e">
        <f t="shared" si="37"/>
        <v>#REF!</v>
      </c>
      <c r="W141" s="37"/>
    </row>
    <row r="142" spans="1:23" ht="12.75">
      <c r="A142" s="12" t="s">
        <v>31</v>
      </c>
      <c r="B142" s="13" t="s">
        <v>108</v>
      </c>
      <c r="C142" s="40" t="s">
        <v>77</v>
      </c>
      <c r="D142" s="141"/>
      <c r="E142" s="229"/>
      <c r="F142" s="141"/>
      <c r="G142" s="229"/>
      <c r="H142" s="229"/>
      <c r="I142" s="322"/>
      <c r="J142" s="229"/>
      <c r="K142" s="214"/>
      <c r="L142" s="141"/>
      <c r="M142" s="214"/>
      <c r="N142" s="223"/>
      <c r="O142" s="223"/>
      <c r="P142" s="249">
        <f>F142</f>
        <v>0</v>
      </c>
      <c r="Q142" s="250">
        <f t="shared" si="32"/>
        <v>-100</v>
      </c>
      <c r="R142" s="249">
        <f>F142*1.03</f>
        <v>0</v>
      </c>
      <c r="S142" s="256">
        <f t="shared" si="33"/>
        <v>-100</v>
      </c>
      <c r="T142" s="256">
        <f t="shared" si="34"/>
        <v>-100</v>
      </c>
      <c r="U142" s="250">
        <f t="shared" si="30"/>
        <v>0</v>
      </c>
      <c r="V142" s="267" t="e">
        <f t="shared" si="37"/>
        <v>#REF!</v>
      </c>
      <c r="W142" s="37"/>
    </row>
    <row r="143" spans="1:23" ht="12.75">
      <c r="A143" s="12" t="s">
        <v>31</v>
      </c>
      <c r="B143" s="13" t="s">
        <v>103</v>
      </c>
      <c r="C143" s="40" t="s">
        <v>77</v>
      </c>
      <c r="D143" s="141"/>
      <c r="E143" s="229"/>
      <c r="F143" s="141"/>
      <c r="G143" s="229"/>
      <c r="H143" s="229">
        <v>1.8</v>
      </c>
      <c r="I143" s="322">
        <v>1.8</v>
      </c>
      <c r="J143" s="229">
        <v>1.8</v>
      </c>
      <c r="K143" s="214">
        <f>J143/H143*100-100</f>
        <v>0</v>
      </c>
      <c r="L143" s="141">
        <f>I143*1.049</f>
        <v>1.8881999999999999</v>
      </c>
      <c r="M143" s="214">
        <f>L143/I143*100-100</f>
        <v>4.8999999999999915</v>
      </c>
      <c r="N143" s="223">
        <f t="shared" si="38"/>
        <v>0.08819999999999983</v>
      </c>
      <c r="O143" s="223"/>
      <c r="P143" s="249">
        <f>F143</f>
        <v>0</v>
      </c>
      <c r="Q143" s="250">
        <f t="shared" si="32"/>
        <v>-100</v>
      </c>
      <c r="R143" s="249">
        <f>F143*1.03</f>
        <v>0</v>
      </c>
      <c r="S143" s="256">
        <f t="shared" si="33"/>
        <v>-100</v>
      </c>
      <c r="T143" s="256">
        <f t="shared" si="34"/>
        <v>-100</v>
      </c>
      <c r="U143" s="250">
        <f t="shared" si="30"/>
        <v>-1.8</v>
      </c>
      <c r="V143" s="267" t="e">
        <f t="shared" si="37"/>
        <v>#REF!</v>
      </c>
      <c r="W143" s="37"/>
    </row>
    <row r="144" spans="1:23" s="33" customFormat="1" ht="25.5">
      <c r="A144" s="174">
        <v>21</v>
      </c>
      <c r="B144" s="167" t="s">
        <v>109</v>
      </c>
      <c r="C144" s="168" t="s">
        <v>77</v>
      </c>
      <c r="D144" s="181">
        <f>D145+D146</f>
        <v>0</v>
      </c>
      <c r="E144" s="181">
        <f aca="true" t="shared" si="40" ref="E144:L144">E145+E146</f>
        <v>0</v>
      </c>
      <c r="F144" s="181">
        <f t="shared" si="40"/>
        <v>0</v>
      </c>
      <c r="G144" s="181">
        <f t="shared" si="40"/>
        <v>0</v>
      </c>
      <c r="H144" s="181">
        <f>H145+H146</f>
        <v>0</v>
      </c>
      <c r="I144" s="181">
        <f>I145+I146</f>
        <v>0</v>
      </c>
      <c r="J144" s="181">
        <f t="shared" si="40"/>
        <v>0</v>
      </c>
      <c r="K144" s="346"/>
      <c r="L144" s="346">
        <f t="shared" si="40"/>
        <v>0</v>
      </c>
      <c r="M144" s="346"/>
      <c r="N144" s="181">
        <f t="shared" si="38"/>
        <v>0</v>
      </c>
      <c r="O144" s="181">
        <f>L144/($L$163+1E-103)*100</f>
        <v>0</v>
      </c>
      <c r="P144" s="180" t="e">
        <f>P145+P146+#REF!</f>
        <v>#REF!</v>
      </c>
      <c r="Q144" s="172" t="e">
        <f t="shared" si="32"/>
        <v>#REF!</v>
      </c>
      <c r="R144" s="180" t="e">
        <f>R145+R146+#REF!</f>
        <v>#REF!</v>
      </c>
      <c r="S144" s="171" t="e">
        <f t="shared" si="33"/>
        <v>#REF!</v>
      </c>
      <c r="T144" s="171" t="e">
        <f t="shared" si="34"/>
        <v>#REF!</v>
      </c>
      <c r="U144" s="172" t="e">
        <f t="shared" si="30"/>
        <v>#REF!</v>
      </c>
      <c r="V144" s="175" t="e">
        <f t="shared" si="37"/>
        <v>#REF!</v>
      </c>
      <c r="W144" s="179"/>
    </row>
    <row r="145" spans="1:23" ht="12.75">
      <c r="A145" s="12" t="s">
        <v>31</v>
      </c>
      <c r="B145" s="13" t="s">
        <v>110</v>
      </c>
      <c r="C145" s="40" t="s">
        <v>77</v>
      </c>
      <c r="D145" s="141"/>
      <c r="E145" s="229"/>
      <c r="F145" s="141"/>
      <c r="G145" s="229"/>
      <c r="H145" s="229"/>
      <c r="I145" s="322"/>
      <c r="J145" s="229"/>
      <c r="K145" s="214"/>
      <c r="L145" s="141"/>
      <c r="M145" s="214"/>
      <c r="N145" s="223"/>
      <c r="O145" s="214"/>
      <c r="P145" s="249">
        <f>F145</f>
        <v>0</v>
      </c>
      <c r="Q145" s="250">
        <f t="shared" si="32"/>
        <v>-100</v>
      </c>
      <c r="R145" s="249">
        <f>F145</f>
        <v>0</v>
      </c>
      <c r="S145" s="256">
        <f t="shared" si="33"/>
        <v>-100</v>
      </c>
      <c r="T145" s="256">
        <f t="shared" si="34"/>
        <v>-100</v>
      </c>
      <c r="U145" s="250">
        <f t="shared" si="30"/>
        <v>0</v>
      </c>
      <c r="V145" s="267" t="e">
        <f t="shared" si="37"/>
        <v>#REF!</v>
      </c>
      <c r="W145" s="30"/>
    </row>
    <row r="146" spans="1:23" ht="12.75">
      <c r="A146" s="12" t="s">
        <v>31</v>
      </c>
      <c r="B146" s="13" t="s">
        <v>111</v>
      </c>
      <c r="C146" s="40" t="s">
        <v>77</v>
      </c>
      <c r="D146" s="141"/>
      <c r="E146" s="229"/>
      <c r="F146" s="141"/>
      <c r="G146" s="229"/>
      <c r="H146" s="229"/>
      <c r="I146" s="322"/>
      <c r="J146" s="229"/>
      <c r="K146" s="214"/>
      <c r="L146" s="141"/>
      <c r="M146" s="214"/>
      <c r="N146" s="223"/>
      <c r="O146" s="214"/>
      <c r="P146" s="249">
        <f>F146</f>
        <v>0</v>
      </c>
      <c r="Q146" s="250">
        <f t="shared" si="32"/>
        <v>-100</v>
      </c>
      <c r="R146" s="249">
        <f>F146</f>
        <v>0</v>
      </c>
      <c r="S146" s="256">
        <f t="shared" si="33"/>
        <v>-100</v>
      </c>
      <c r="T146" s="256">
        <f t="shared" si="34"/>
        <v>-100</v>
      </c>
      <c r="U146" s="250">
        <f t="shared" si="30"/>
        <v>0</v>
      </c>
      <c r="V146" s="267" t="e">
        <f t="shared" si="37"/>
        <v>#REF!</v>
      </c>
      <c r="W146" s="30"/>
    </row>
    <row r="147" spans="1:23" ht="12.75" customHeight="1">
      <c r="A147" s="3">
        <v>22</v>
      </c>
      <c r="B147" s="13" t="s">
        <v>113</v>
      </c>
      <c r="C147" s="40" t="s">
        <v>77</v>
      </c>
      <c r="D147" s="141"/>
      <c r="E147" s="229"/>
      <c r="F147" s="141"/>
      <c r="G147" s="229"/>
      <c r="H147" s="229"/>
      <c r="I147" s="322"/>
      <c r="J147" s="229"/>
      <c r="K147" s="214"/>
      <c r="L147" s="141"/>
      <c r="M147" s="214"/>
      <c r="N147" s="223"/>
      <c r="O147" s="214"/>
      <c r="P147" s="274">
        <f>F147*1.06</f>
        <v>0</v>
      </c>
      <c r="Q147" s="250">
        <f t="shared" si="32"/>
        <v>-100</v>
      </c>
      <c r="R147" s="274">
        <f>F147*1.12</f>
        <v>0</v>
      </c>
      <c r="S147" s="256">
        <f t="shared" si="33"/>
        <v>-100</v>
      </c>
      <c r="T147" s="256">
        <f t="shared" si="34"/>
        <v>-100</v>
      </c>
      <c r="U147" s="250">
        <f t="shared" si="30"/>
        <v>0</v>
      </c>
      <c r="V147" s="267" t="e">
        <f t="shared" si="37"/>
        <v>#REF!</v>
      </c>
      <c r="W147" s="30"/>
    </row>
    <row r="148" spans="1:23" ht="16.5" customHeight="1">
      <c r="A148" s="202">
        <v>23</v>
      </c>
      <c r="B148" s="203" t="s">
        <v>114</v>
      </c>
      <c r="C148" s="204" t="s">
        <v>77</v>
      </c>
      <c r="D148" s="209">
        <f>D102+D111+D116+D117+D118+D121+D122+D123+D127+D133+D139+D144+D147</f>
        <v>0</v>
      </c>
      <c r="E148" s="209">
        <f>E102+E111+E116+E117+E118+E121+E122+E123+E127+E133+E139+E144+E147</f>
        <v>0</v>
      </c>
      <c r="F148" s="209">
        <f>F102+F111+F116+F117+F118+F121+F122+F123+F127+F133+F139+F144+F147</f>
        <v>0</v>
      </c>
      <c r="G148" s="209">
        <f>G102+G111+G116+G117+G118+G121+G122+G123+G127+G133+G139+G144+G147</f>
        <v>0</v>
      </c>
      <c r="H148" s="209">
        <f>H102+H111+H116+H117+H118+H121+H122+H123+H127+H133+H139+H144</f>
        <v>384.3768326602321</v>
      </c>
      <c r="I148" s="209">
        <f>I102+I111+I116+I117+I118+I121+I122+I123+I127+I133+I139+I144</f>
        <v>300.1429252003802</v>
      </c>
      <c r="J148" s="209">
        <f>J102+J111+J116+J117+J118+J121+J122+J123+J127+J133+J139+J144</f>
        <v>347.6824699274005</v>
      </c>
      <c r="K148" s="209">
        <f>J148/(H148+1E-133)*100-100</f>
        <v>-9.54645535707074</v>
      </c>
      <c r="L148" s="277">
        <f>L102+L111+L116+L117+L118+L121+L122+L123+L127+L133+L139+L144</f>
        <v>324.3719724319634</v>
      </c>
      <c r="M148" s="345">
        <f>L148/(H148+1E-106)*100-100</f>
        <v>-15.610946115815906</v>
      </c>
      <c r="N148" s="209">
        <f t="shared" si="38"/>
        <v>-23.31049749543712</v>
      </c>
      <c r="O148" s="351">
        <f>L148/($L$163+1E-103)*100</f>
        <v>98.4819594809231</v>
      </c>
      <c r="P148" s="44" t="e">
        <f>Q102+Q111+Q116+Q117+Q118+Q121+Q122+Q123+Q127+P133+P139+P144+P147</f>
        <v>#REF!</v>
      </c>
      <c r="Q148" s="44" t="e">
        <f t="shared" si="32"/>
        <v>#REF!</v>
      </c>
      <c r="R148" s="45" t="e">
        <f>S102+S111+S116+S117+S118+S121+S122+S123+S127+R133+R139+R144+R147</f>
        <v>#REF!</v>
      </c>
      <c r="S148" s="206" t="e">
        <f t="shared" si="33"/>
        <v>#REF!</v>
      </c>
      <c r="T148" s="206" t="e">
        <f t="shared" si="34"/>
        <v>#REF!</v>
      </c>
      <c r="U148" s="44" t="e">
        <f t="shared" si="30"/>
        <v>#REF!</v>
      </c>
      <c r="V148" s="205" t="e">
        <f t="shared" si="37"/>
        <v>#REF!</v>
      </c>
      <c r="W148" s="207"/>
    </row>
    <row r="149" spans="1:23" ht="13.5" customHeight="1">
      <c r="A149" s="202">
        <v>24</v>
      </c>
      <c r="B149" s="203" t="s">
        <v>115</v>
      </c>
      <c r="C149" s="208" t="s">
        <v>116</v>
      </c>
      <c r="D149" s="209">
        <f>D148/(D23+1E-100)*1000</f>
        <v>0</v>
      </c>
      <c r="E149" s="209">
        <f>E148/(E23+1E-100)*1000</f>
        <v>0</v>
      </c>
      <c r="F149" s="209">
        <f>F148/(F23+1E-100)*1000</f>
        <v>0</v>
      </c>
      <c r="G149" s="209">
        <f>G148/(G23+1E-100)*1000</f>
        <v>0</v>
      </c>
      <c r="H149" s="315">
        <f>H148/H23*1000</f>
        <v>2121.284948456027</v>
      </c>
      <c r="I149" s="209">
        <f>I148/I23*1000</f>
        <v>1656.417909494372</v>
      </c>
      <c r="J149" s="209">
        <f>J148/J23*1000</f>
        <v>1918.7774278554114</v>
      </c>
      <c r="K149" s="209"/>
      <c r="L149" s="277">
        <f>L148/L23*1000</f>
        <v>1790.1322981896437</v>
      </c>
      <c r="M149" s="345">
        <f>L149/(H149+1E-106)*100-100</f>
        <v>-15.610946115815892</v>
      </c>
      <c r="N149" s="209">
        <f t="shared" si="38"/>
        <v>-128.64512966576763</v>
      </c>
      <c r="O149" s="351">
        <f>L149/($L$163+1E-103)*100</f>
        <v>543.498672632026</v>
      </c>
      <c r="P149" s="61" t="e">
        <f>P148/(Q23+1E-100)*1000</f>
        <v>#REF!</v>
      </c>
      <c r="Q149" s="41" t="e">
        <f t="shared" si="32"/>
        <v>#REF!</v>
      </c>
      <c r="R149" s="210" t="e">
        <f>R148/(S23+1E-100)*1000</f>
        <v>#REF!</v>
      </c>
      <c r="S149" s="206" t="e">
        <f t="shared" si="33"/>
        <v>#REF!</v>
      </c>
      <c r="T149" s="206" t="e">
        <f t="shared" si="34"/>
        <v>#REF!</v>
      </c>
      <c r="U149" s="44" t="e">
        <f t="shared" si="30"/>
        <v>#REF!</v>
      </c>
      <c r="V149" s="205" t="e">
        <f t="shared" si="37"/>
        <v>#REF!</v>
      </c>
      <c r="W149" s="211"/>
    </row>
    <row r="150" spans="1:23" ht="12.75" customHeight="1">
      <c r="A150" s="12"/>
      <c r="B150" s="13" t="s">
        <v>117</v>
      </c>
      <c r="C150" s="131" t="s">
        <v>26</v>
      </c>
      <c r="D150" s="219">
        <f aca="true" t="shared" si="41" ref="D150:J150">D151/(D148+1E-95)*100</f>
        <v>0</v>
      </c>
      <c r="E150" s="214">
        <f t="shared" si="41"/>
        <v>0</v>
      </c>
      <c r="F150" s="219">
        <f t="shared" si="41"/>
        <v>0</v>
      </c>
      <c r="G150" s="214">
        <f t="shared" si="41"/>
        <v>0</v>
      </c>
      <c r="H150" s="214">
        <f>H151/(H148+1E-95)*100</f>
        <v>2.1853554341099266</v>
      </c>
      <c r="I150" s="337">
        <f>I151/(I148+1E-95)*100</f>
        <v>1.6658730158846558</v>
      </c>
      <c r="J150" s="214">
        <f t="shared" si="41"/>
        <v>2.415997562877991</v>
      </c>
      <c r="K150" s="223">
        <f>J150/(H150+1E-133)*100-100</f>
        <v>10.553987015938333</v>
      </c>
      <c r="L150" s="219">
        <f>L151/(L148+1E-95)*100</f>
        <v>1.5414402059810342</v>
      </c>
      <c r="M150" s="214">
        <f>L150/(H150+1E-106)*100-100</f>
        <v>-29.465011415461234</v>
      </c>
      <c r="N150" s="214">
        <f t="shared" si="38"/>
        <v>-0.8745573568969567</v>
      </c>
      <c r="O150" s="214">
        <f>L150/($L$163+1E-103)*100</f>
        <v>0.4679937380826904</v>
      </c>
      <c r="P150" s="56" t="e">
        <f>P151/(P148+1E-95)*100</f>
        <v>#REF!</v>
      </c>
      <c r="Q150" s="48" t="e">
        <f t="shared" si="32"/>
        <v>#REF!</v>
      </c>
      <c r="R150" s="56" t="e">
        <f>R151/(R148+1E-95)*100</f>
        <v>#REF!</v>
      </c>
      <c r="S150" s="17" t="e">
        <f t="shared" si="33"/>
        <v>#REF!</v>
      </c>
      <c r="T150" s="17" t="e">
        <f t="shared" si="34"/>
        <v>#REF!</v>
      </c>
      <c r="U150" s="16" t="e">
        <f t="shared" si="30"/>
        <v>#REF!</v>
      </c>
      <c r="V150" s="36" t="e">
        <f t="shared" si="37"/>
        <v>#REF!</v>
      </c>
      <c r="W150" s="30"/>
    </row>
    <row r="151" spans="1:23" ht="12.75" customHeight="1">
      <c r="A151" s="174">
        <v>25</v>
      </c>
      <c r="B151" s="198" t="s">
        <v>118</v>
      </c>
      <c r="C151" s="186" t="s">
        <v>119</v>
      </c>
      <c r="D151" s="182">
        <f>D152+D153+D154+D155+D157+D158</f>
        <v>0</v>
      </c>
      <c r="E151" s="182">
        <f aca="true" t="shared" si="42" ref="E151:L151">E152+E153+E154+E155+E157+E158</f>
        <v>0</v>
      </c>
      <c r="F151" s="182">
        <f t="shared" si="42"/>
        <v>0</v>
      </c>
      <c r="G151" s="182">
        <f t="shared" si="42"/>
        <v>0</v>
      </c>
      <c r="H151" s="182">
        <f>H152+H153+H154+H155+H157+H158</f>
        <v>8.4</v>
      </c>
      <c r="I151" s="181">
        <f>I152+I153+I154+I155+I157+I158</f>
        <v>5</v>
      </c>
      <c r="J151" s="182">
        <f t="shared" si="42"/>
        <v>8.4</v>
      </c>
      <c r="K151" s="182">
        <f>J151/(H151+1E-133)*100-100</f>
        <v>0</v>
      </c>
      <c r="L151" s="182">
        <f t="shared" si="42"/>
        <v>5</v>
      </c>
      <c r="M151" s="346">
        <f>L151/(H151+1E-106)*100-100</f>
        <v>-40.476190476190474</v>
      </c>
      <c r="N151" s="182">
        <f t="shared" si="38"/>
        <v>-3.4000000000000004</v>
      </c>
      <c r="O151" s="346">
        <f>L151/($L$163+1E-103)*100</f>
        <v>1.5180405190768997</v>
      </c>
      <c r="P151" s="199">
        <f>P152+P153+P154+P155+P158</f>
        <v>0</v>
      </c>
      <c r="Q151" s="200">
        <f t="shared" si="32"/>
        <v>-100</v>
      </c>
      <c r="R151" s="199">
        <f>R152+R153+R154+R155+R158</f>
        <v>0</v>
      </c>
      <c r="S151" s="201">
        <f t="shared" si="33"/>
        <v>-100</v>
      </c>
      <c r="T151" s="201">
        <f t="shared" si="34"/>
        <v>-100</v>
      </c>
      <c r="U151" s="170">
        <f t="shared" si="30"/>
        <v>-8.4</v>
      </c>
      <c r="V151" s="169" t="e">
        <f t="shared" si="37"/>
        <v>#REF!</v>
      </c>
      <c r="W151" s="173"/>
    </row>
    <row r="152" spans="1:23" ht="15.75" customHeight="1">
      <c r="A152" s="12" t="s">
        <v>31</v>
      </c>
      <c r="B152" s="13" t="s">
        <v>120</v>
      </c>
      <c r="C152" s="13"/>
      <c r="D152" s="141"/>
      <c r="E152" s="229"/>
      <c r="F152" s="141"/>
      <c r="G152" s="229"/>
      <c r="H152" s="229"/>
      <c r="I152" s="322"/>
      <c r="J152" s="229"/>
      <c r="K152" s="223"/>
      <c r="L152" s="141"/>
      <c r="M152" s="214"/>
      <c r="N152" s="223"/>
      <c r="O152" s="214"/>
      <c r="P152" s="275">
        <f>F152</f>
        <v>0</v>
      </c>
      <c r="Q152" s="272">
        <f t="shared" si="32"/>
        <v>-100</v>
      </c>
      <c r="R152" s="275">
        <f>F152</f>
        <v>0</v>
      </c>
      <c r="S152" s="256">
        <f t="shared" si="33"/>
        <v>-100</v>
      </c>
      <c r="T152" s="256">
        <f t="shared" si="34"/>
        <v>-100</v>
      </c>
      <c r="U152" s="250">
        <f t="shared" si="30"/>
        <v>0</v>
      </c>
      <c r="V152" s="267" t="e">
        <f t="shared" si="37"/>
        <v>#REF!</v>
      </c>
      <c r="W152" s="30"/>
    </row>
    <row r="153" spans="1:23" ht="25.5">
      <c r="A153" s="12" t="s">
        <v>31</v>
      </c>
      <c r="B153" s="318" t="s">
        <v>121</v>
      </c>
      <c r="C153" s="318"/>
      <c r="D153" s="232"/>
      <c r="E153" s="229"/>
      <c r="F153" s="141"/>
      <c r="G153" s="229"/>
      <c r="H153" s="229"/>
      <c r="I153" s="322"/>
      <c r="J153" s="229"/>
      <c r="K153" s="223"/>
      <c r="L153" s="141"/>
      <c r="M153" s="214"/>
      <c r="N153" s="223"/>
      <c r="O153" s="214"/>
      <c r="P153" s="275">
        <f aca="true" t="shared" si="43" ref="P153:P161">F153</f>
        <v>0</v>
      </c>
      <c r="Q153" s="272">
        <f t="shared" si="32"/>
        <v>-100</v>
      </c>
      <c r="R153" s="275">
        <f>F153*1.051</f>
        <v>0</v>
      </c>
      <c r="S153" s="256">
        <f t="shared" si="33"/>
        <v>-100</v>
      </c>
      <c r="T153" s="256">
        <f t="shared" si="34"/>
        <v>-100</v>
      </c>
      <c r="U153" s="250">
        <f t="shared" si="30"/>
        <v>0</v>
      </c>
      <c r="V153" s="267" t="e">
        <f t="shared" si="37"/>
        <v>#REF!</v>
      </c>
      <c r="W153" s="30"/>
    </row>
    <row r="154" spans="1:23" ht="12.75">
      <c r="A154" s="12" t="s">
        <v>31</v>
      </c>
      <c r="B154" s="443" t="s">
        <v>122</v>
      </c>
      <c r="C154" s="443"/>
      <c r="D154" s="232"/>
      <c r="E154" s="229"/>
      <c r="F154" s="141"/>
      <c r="G154" s="229"/>
      <c r="H154" s="229"/>
      <c r="I154" s="322"/>
      <c r="J154" s="229"/>
      <c r="K154" s="223"/>
      <c r="L154" s="141"/>
      <c r="M154" s="214"/>
      <c r="N154" s="223"/>
      <c r="O154" s="214"/>
      <c r="P154" s="275">
        <f t="shared" si="43"/>
        <v>0</v>
      </c>
      <c r="Q154" s="272">
        <f t="shared" si="32"/>
        <v>-100</v>
      </c>
      <c r="R154" s="275">
        <f>F154*1.051</f>
        <v>0</v>
      </c>
      <c r="S154" s="256">
        <f t="shared" si="33"/>
        <v>-100</v>
      </c>
      <c r="T154" s="256">
        <f t="shared" si="34"/>
        <v>-100</v>
      </c>
      <c r="U154" s="250">
        <f t="shared" si="30"/>
        <v>0</v>
      </c>
      <c r="V154" s="267" t="e">
        <f t="shared" si="37"/>
        <v>#REF!</v>
      </c>
      <c r="W154" s="30"/>
    </row>
    <row r="155" spans="1:23" ht="12.75">
      <c r="A155" s="12" t="s">
        <v>31</v>
      </c>
      <c r="B155" s="443" t="s">
        <v>123</v>
      </c>
      <c r="C155" s="443"/>
      <c r="D155" s="232"/>
      <c r="E155" s="229"/>
      <c r="F155" s="141"/>
      <c r="G155" s="229"/>
      <c r="H155" s="229">
        <v>8.4</v>
      </c>
      <c r="I155" s="322">
        <v>5</v>
      </c>
      <c r="J155" s="229">
        <v>8.4</v>
      </c>
      <c r="K155" s="223">
        <f>J155/(H155+1E-133)*100-100</f>
        <v>0</v>
      </c>
      <c r="L155" s="141">
        <f>I155</f>
        <v>5</v>
      </c>
      <c r="M155" s="214">
        <f>L155/(H155+1E-106)*100-100</f>
        <v>-40.476190476190474</v>
      </c>
      <c r="N155" s="223">
        <f t="shared" si="38"/>
        <v>-3.4000000000000004</v>
      </c>
      <c r="O155" s="214">
        <f>L155/($L$163+1E-103)*100</f>
        <v>1.5180405190768997</v>
      </c>
      <c r="P155" s="275">
        <f t="shared" si="43"/>
        <v>0</v>
      </c>
      <c r="Q155" s="272">
        <f t="shared" si="32"/>
        <v>-100</v>
      </c>
      <c r="R155" s="275">
        <f>F155*1.051</f>
        <v>0</v>
      </c>
      <c r="S155" s="256">
        <f t="shared" si="33"/>
        <v>-100</v>
      </c>
      <c r="T155" s="256">
        <f t="shared" si="34"/>
        <v>-100</v>
      </c>
      <c r="U155" s="250">
        <f t="shared" si="30"/>
        <v>-8.4</v>
      </c>
      <c r="V155" s="267" t="e">
        <f t="shared" si="37"/>
        <v>#REF!</v>
      </c>
      <c r="W155" s="30"/>
    </row>
    <row r="156" spans="1:23" ht="12.75">
      <c r="A156" s="12"/>
      <c r="B156" s="444" t="s">
        <v>124</v>
      </c>
      <c r="C156" s="444"/>
      <c r="D156" s="232"/>
      <c r="E156" s="229"/>
      <c r="F156" s="141"/>
      <c r="G156" s="229"/>
      <c r="H156" s="229"/>
      <c r="I156" s="322"/>
      <c r="J156" s="229"/>
      <c r="K156" s="223"/>
      <c r="L156" s="141"/>
      <c r="M156" s="214"/>
      <c r="N156" s="223"/>
      <c r="O156" s="214"/>
      <c r="P156" s="275">
        <f t="shared" si="43"/>
        <v>0</v>
      </c>
      <c r="Q156" s="272">
        <f t="shared" si="32"/>
        <v>-100</v>
      </c>
      <c r="R156" s="275">
        <f>F156*1.051</f>
        <v>0</v>
      </c>
      <c r="S156" s="256">
        <f t="shared" si="33"/>
        <v>-100</v>
      </c>
      <c r="T156" s="256">
        <f t="shared" si="34"/>
        <v>-100</v>
      </c>
      <c r="U156" s="250">
        <f t="shared" si="30"/>
        <v>0</v>
      </c>
      <c r="V156" s="267" t="e">
        <f t="shared" si="37"/>
        <v>#REF!</v>
      </c>
      <c r="W156" s="30"/>
    </row>
    <row r="157" spans="1:23" ht="12.75">
      <c r="A157" s="12" t="s">
        <v>31</v>
      </c>
      <c r="B157" s="13" t="s">
        <v>112</v>
      </c>
      <c r="C157" s="132"/>
      <c r="D157" s="232"/>
      <c r="E157" s="229"/>
      <c r="F157" s="141"/>
      <c r="G157" s="229"/>
      <c r="H157" s="229"/>
      <c r="I157" s="322"/>
      <c r="J157" s="229"/>
      <c r="K157" s="223"/>
      <c r="L157" s="141"/>
      <c r="M157" s="214"/>
      <c r="N157" s="223"/>
      <c r="O157" s="214"/>
      <c r="P157" s="275"/>
      <c r="Q157" s="272"/>
      <c r="R157" s="275"/>
      <c r="S157" s="256"/>
      <c r="T157" s="256"/>
      <c r="U157" s="250"/>
      <c r="V157" s="267"/>
      <c r="W157" s="30"/>
    </row>
    <row r="158" spans="1:23" ht="25.5">
      <c r="A158" s="12" t="s">
        <v>31</v>
      </c>
      <c r="B158" s="158" t="s">
        <v>125</v>
      </c>
      <c r="C158" s="131"/>
      <c r="D158" s="141"/>
      <c r="E158" s="229"/>
      <c r="F158" s="141"/>
      <c r="G158" s="229"/>
      <c r="H158" s="229"/>
      <c r="I158" s="322"/>
      <c r="J158" s="229"/>
      <c r="K158" s="223"/>
      <c r="L158" s="141"/>
      <c r="M158" s="214"/>
      <c r="N158" s="223"/>
      <c r="O158" s="214"/>
      <c r="P158" s="275">
        <f t="shared" si="43"/>
        <v>0</v>
      </c>
      <c r="Q158" s="272">
        <f aca="true" t="shared" si="44" ref="Q158:Q164">P158/(F158+1E-106)*100-100</f>
        <v>-100</v>
      </c>
      <c r="R158" s="275">
        <f>F158</f>
        <v>0</v>
      </c>
      <c r="S158" s="256">
        <f aca="true" t="shared" si="45" ref="S158:S164">R158/(P158+1E-106)*100-100</f>
        <v>-100</v>
      </c>
      <c r="T158" s="256">
        <f aca="true" t="shared" si="46" ref="T158:T164">R158/(F158+1E-106)*100-100</f>
        <v>-100</v>
      </c>
      <c r="U158" s="250">
        <f aca="true" t="shared" si="47" ref="U158:U164">R158-J158</f>
        <v>0</v>
      </c>
      <c r="V158" s="267" t="e">
        <f aca="true" t="shared" si="48" ref="V158:V163">R158/($R$163+1E-103)*100</f>
        <v>#REF!</v>
      </c>
      <c r="W158" s="30"/>
    </row>
    <row r="159" spans="1:23" ht="12.75">
      <c r="A159" s="12"/>
      <c r="B159" s="57" t="s">
        <v>126</v>
      </c>
      <c r="C159" s="131"/>
      <c r="D159" s="141"/>
      <c r="E159" s="229"/>
      <c r="F159" s="141"/>
      <c r="G159" s="229"/>
      <c r="H159" s="229"/>
      <c r="I159" s="322"/>
      <c r="J159" s="229"/>
      <c r="K159" s="223"/>
      <c r="L159" s="141"/>
      <c r="M159" s="214"/>
      <c r="N159" s="223"/>
      <c r="O159" s="214"/>
      <c r="P159" s="275">
        <f t="shared" si="43"/>
        <v>0</v>
      </c>
      <c r="Q159" s="272">
        <f t="shared" si="44"/>
        <v>-100</v>
      </c>
      <c r="R159" s="275">
        <f>F159</f>
        <v>0</v>
      </c>
      <c r="S159" s="256">
        <f t="shared" si="45"/>
        <v>-100</v>
      </c>
      <c r="T159" s="256">
        <f t="shared" si="46"/>
        <v>-100</v>
      </c>
      <c r="U159" s="250">
        <f t="shared" si="47"/>
        <v>0</v>
      </c>
      <c r="V159" s="267" t="e">
        <f t="shared" si="48"/>
        <v>#REF!</v>
      </c>
      <c r="W159" s="30"/>
    </row>
    <row r="160" spans="1:23" ht="13.5">
      <c r="A160" s="12"/>
      <c r="B160" s="58" t="s">
        <v>199</v>
      </c>
      <c r="C160" s="131" t="s">
        <v>119</v>
      </c>
      <c r="D160" s="220"/>
      <c r="E160" s="224">
        <f>E163-E148</f>
        <v>0</v>
      </c>
      <c r="F160" s="220"/>
      <c r="G160" s="224">
        <f>G163-G148</f>
        <v>0</v>
      </c>
      <c r="H160" s="230"/>
      <c r="I160" s="322"/>
      <c r="J160" s="230"/>
      <c r="K160" s="227"/>
      <c r="L160" s="141"/>
      <c r="M160" s="224"/>
      <c r="N160" s="227"/>
      <c r="O160" s="214"/>
      <c r="P160" s="275"/>
      <c r="Q160" s="272">
        <f t="shared" si="44"/>
        <v>-100</v>
      </c>
      <c r="R160" s="275"/>
      <c r="S160" s="256">
        <f t="shared" si="45"/>
        <v>-100</v>
      </c>
      <c r="T160" s="256">
        <f t="shared" si="46"/>
        <v>-100</v>
      </c>
      <c r="U160" s="250">
        <f t="shared" si="47"/>
        <v>0</v>
      </c>
      <c r="V160" s="267" t="e">
        <f t="shared" si="48"/>
        <v>#REF!</v>
      </c>
      <c r="W160" s="30"/>
    </row>
    <row r="161" spans="1:23" ht="15.75">
      <c r="A161" s="3">
        <v>26</v>
      </c>
      <c r="B161" s="13" t="s">
        <v>127</v>
      </c>
      <c r="C161" s="131" t="s">
        <v>119</v>
      </c>
      <c r="D161" s="141"/>
      <c r="E161" s="229"/>
      <c r="F161" s="141"/>
      <c r="G161" s="229"/>
      <c r="H161" s="229"/>
      <c r="I161" s="322"/>
      <c r="J161" s="229"/>
      <c r="K161" s="223"/>
      <c r="L161" s="141"/>
      <c r="M161" s="214"/>
      <c r="N161" s="223"/>
      <c r="O161" s="214"/>
      <c r="P161" s="275">
        <f t="shared" si="43"/>
        <v>0</v>
      </c>
      <c r="Q161" s="272">
        <f t="shared" si="44"/>
        <v>-100</v>
      </c>
      <c r="R161" s="275">
        <f>F161*1.051</f>
        <v>0</v>
      </c>
      <c r="S161" s="256">
        <f t="shared" si="45"/>
        <v>-100</v>
      </c>
      <c r="T161" s="256">
        <f t="shared" si="46"/>
        <v>-100</v>
      </c>
      <c r="U161" s="250">
        <f t="shared" si="47"/>
        <v>0</v>
      </c>
      <c r="V161" s="267" t="e">
        <f t="shared" si="48"/>
        <v>#REF!</v>
      </c>
      <c r="W161" s="59"/>
    </row>
    <row r="162" spans="1:23" ht="25.5">
      <c r="A162" s="3">
        <v>27</v>
      </c>
      <c r="B162" s="13" t="s">
        <v>128</v>
      </c>
      <c r="C162" s="131" t="s">
        <v>119</v>
      </c>
      <c r="D162" s="141"/>
      <c r="E162" s="229"/>
      <c r="F162" s="141"/>
      <c r="G162" s="229"/>
      <c r="H162" s="229"/>
      <c r="I162" s="322"/>
      <c r="J162" s="229"/>
      <c r="K162" s="227"/>
      <c r="L162" s="141"/>
      <c r="M162" s="214"/>
      <c r="N162" s="223"/>
      <c r="O162" s="214"/>
      <c r="P162" s="275"/>
      <c r="Q162" s="272">
        <f t="shared" si="44"/>
        <v>-100</v>
      </c>
      <c r="R162" s="275"/>
      <c r="S162" s="256">
        <f t="shared" si="45"/>
        <v>-100</v>
      </c>
      <c r="T162" s="256">
        <f t="shared" si="46"/>
        <v>-100</v>
      </c>
      <c r="U162" s="250">
        <f t="shared" si="47"/>
        <v>0</v>
      </c>
      <c r="V162" s="267" t="e">
        <f t="shared" si="48"/>
        <v>#REF!</v>
      </c>
      <c r="W162" s="60"/>
    </row>
    <row r="163" spans="1:23" ht="24" customHeight="1">
      <c r="A163" s="202">
        <v>28</v>
      </c>
      <c r="B163" s="203" t="s">
        <v>129</v>
      </c>
      <c r="C163" s="385" t="s">
        <v>119</v>
      </c>
      <c r="D163" s="209">
        <f>D148+D151+D161+D162</f>
        <v>0</v>
      </c>
      <c r="E163" s="209">
        <f>E185</f>
        <v>0</v>
      </c>
      <c r="F163" s="209">
        <f>F148+F151+F161+F162</f>
        <v>0</v>
      </c>
      <c r="G163" s="209">
        <f>G185</f>
        <v>0</v>
      </c>
      <c r="H163" s="209">
        <f>H148+H151+H161+H162</f>
        <v>392.77683266023206</v>
      </c>
      <c r="I163" s="209">
        <f>I148+I151+I161+I162</f>
        <v>305.1429252003802</v>
      </c>
      <c r="J163" s="209">
        <f>J148+J151+J161+J162</f>
        <v>356.0824699274005</v>
      </c>
      <c r="K163" s="209">
        <f>J163/(H163+1E-133)*100-100</f>
        <v>-9.342293048269894</v>
      </c>
      <c r="L163" s="209">
        <f>L148+L151+L161+L162</f>
        <v>329.3719724319634</v>
      </c>
      <c r="M163" s="345">
        <f>L163/(H163+1E-106)*100-100</f>
        <v>-16.14271895794741</v>
      </c>
      <c r="N163" s="209">
        <f>L163-J163</f>
        <v>-26.710497495437096</v>
      </c>
      <c r="O163" s="209">
        <f>O148+O151+O161+O162</f>
        <v>100</v>
      </c>
      <c r="P163" s="61" t="e">
        <f>P148+P151+P161+P162</f>
        <v>#REF!</v>
      </c>
      <c r="Q163" s="41" t="e">
        <f t="shared" si="44"/>
        <v>#REF!</v>
      </c>
      <c r="R163" s="61" t="e">
        <f>R148+R151+R161+R162</f>
        <v>#REF!</v>
      </c>
      <c r="S163" s="25" t="e">
        <f t="shared" si="45"/>
        <v>#REF!</v>
      </c>
      <c r="T163" s="25" t="e">
        <f t="shared" si="46"/>
        <v>#REF!</v>
      </c>
      <c r="U163" s="25" t="e">
        <f t="shared" si="47"/>
        <v>#REF!</v>
      </c>
      <c r="V163" s="205" t="e">
        <f t="shared" si="48"/>
        <v>#REF!</v>
      </c>
      <c r="W163" s="212"/>
    </row>
    <row r="164" spans="1:25" ht="22.5" customHeight="1">
      <c r="A164" s="202">
        <v>29</v>
      </c>
      <c r="B164" s="203" t="s">
        <v>130</v>
      </c>
      <c r="C164" s="385" t="s">
        <v>116</v>
      </c>
      <c r="D164" s="209">
        <f aca="true" t="shared" si="49" ref="D164:J164">D163/(D23+1E-99)*1000</f>
        <v>0</v>
      </c>
      <c r="E164" s="209">
        <f t="shared" si="49"/>
        <v>0</v>
      </c>
      <c r="F164" s="209">
        <f t="shared" si="49"/>
        <v>0</v>
      </c>
      <c r="G164" s="209">
        <f t="shared" si="49"/>
        <v>0</v>
      </c>
      <c r="H164" s="209">
        <f t="shared" si="49"/>
        <v>2167.6425643500666</v>
      </c>
      <c r="I164" s="209">
        <f t="shared" si="49"/>
        <v>1684.0117284789196</v>
      </c>
      <c r="J164" s="209">
        <f t="shared" si="49"/>
        <v>1965.135043749451</v>
      </c>
      <c r="K164" s="209">
        <f>J164/(H164+1E-133)*100-100</f>
        <v>-9.342293048269894</v>
      </c>
      <c r="L164" s="209">
        <f>L163/(L23+1E-99)*1000</f>
        <v>1817.726117174191</v>
      </c>
      <c r="M164" s="345">
        <f>L164/(H164+1E-106)*100-100</f>
        <v>-16.14271895794741</v>
      </c>
      <c r="N164" s="209">
        <f>L164-J164</f>
        <v>-147.40892657526</v>
      </c>
      <c r="O164" s="209"/>
      <c r="P164" s="5" t="e">
        <f>P163/(Q23+1E-99)*1000</f>
        <v>#REF!</v>
      </c>
      <c r="Q164" s="44" t="e">
        <f t="shared" si="44"/>
        <v>#REF!</v>
      </c>
      <c r="R164" s="5" t="e">
        <f>R163/(S23+1E-99)*1000</f>
        <v>#REF!</v>
      </c>
      <c r="S164" s="206" t="e">
        <f t="shared" si="45"/>
        <v>#REF!</v>
      </c>
      <c r="T164" s="206" t="e">
        <f t="shared" si="46"/>
        <v>#REF!</v>
      </c>
      <c r="U164" s="44" t="e">
        <f t="shared" si="47"/>
        <v>#REF!</v>
      </c>
      <c r="V164" s="41"/>
      <c r="W164" s="213"/>
      <c r="Y164">
        <v>1069.92</v>
      </c>
    </row>
    <row r="165" spans="1:32" ht="12" customHeight="1">
      <c r="A165" s="12"/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1:32" ht="34.5" customHeight="1" hidden="1">
      <c r="A166" s="445"/>
      <c r="B166" s="445"/>
      <c r="C166" s="188"/>
      <c r="D166" s="189"/>
      <c r="E166" s="190"/>
      <c r="F166" s="191"/>
      <c r="G166" s="192"/>
      <c r="H166" s="192"/>
      <c r="I166" s="192"/>
      <c r="J166" s="193"/>
      <c r="K166" s="194"/>
      <c r="L166" s="195"/>
      <c r="M166" s="339"/>
      <c r="N166" s="194"/>
      <c r="O166" s="194"/>
      <c r="P166" s="196"/>
      <c r="Q166" s="196"/>
      <c r="R166" s="196"/>
      <c r="S166" s="197"/>
      <c r="T166" s="196"/>
      <c r="U166" s="196"/>
      <c r="V166" s="196"/>
      <c r="W166" s="187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1:32" s="313" customFormat="1" ht="24" customHeight="1">
      <c r="A167" s="446" t="s">
        <v>207</v>
      </c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312"/>
      <c r="Y167" s="312"/>
      <c r="Z167" s="312"/>
      <c r="AA167" s="312"/>
      <c r="AB167" s="312"/>
      <c r="AC167" s="312"/>
      <c r="AD167" s="312"/>
      <c r="AE167" s="312"/>
      <c r="AF167" s="312"/>
    </row>
    <row r="168" spans="1:32" s="150" customFormat="1" ht="15.75" customHeight="1">
      <c r="A168" s="447" t="s">
        <v>0</v>
      </c>
      <c r="B168" s="448" t="s">
        <v>131</v>
      </c>
      <c r="C168" s="425"/>
      <c r="D168" s="386"/>
      <c r="E168" s="386"/>
      <c r="F168" s="386"/>
      <c r="G168" s="386"/>
      <c r="H168" s="525" t="s">
        <v>198</v>
      </c>
      <c r="I168" s="422" t="s">
        <v>185</v>
      </c>
      <c r="J168" s="422"/>
      <c r="K168" s="425"/>
      <c r="L168" s="422" t="s">
        <v>191</v>
      </c>
      <c r="M168" s="422"/>
      <c r="N168" s="422"/>
      <c r="O168" s="423" t="s">
        <v>175</v>
      </c>
      <c r="P168" s="423"/>
      <c r="Q168" s="423"/>
      <c r="R168" s="423"/>
      <c r="S168" s="423"/>
      <c r="T168" s="423"/>
      <c r="U168" s="423"/>
      <c r="V168" s="423"/>
      <c r="W168" s="424"/>
      <c r="X168" s="149"/>
      <c r="Y168" s="149"/>
      <c r="Z168" s="149"/>
      <c r="AA168" s="149"/>
      <c r="AB168" s="149"/>
      <c r="AC168" s="149"/>
      <c r="AD168" s="149"/>
      <c r="AE168" s="149"/>
      <c r="AF168" s="149"/>
    </row>
    <row r="169" spans="1:32" ht="22.5" customHeight="1">
      <c r="A169" s="447"/>
      <c r="B169" s="449"/>
      <c r="C169" s="426"/>
      <c r="D169" s="386"/>
      <c r="E169" s="386"/>
      <c r="F169" s="386"/>
      <c r="G169" s="386"/>
      <c r="H169" s="526"/>
      <c r="I169" s="413" t="s">
        <v>222</v>
      </c>
      <c r="J169" s="414"/>
      <c r="K169" s="426"/>
      <c r="L169" s="415" t="s">
        <v>222</v>
      </c>
      <c r="M169" s="423"/>
      <c r="N169" s="424"/>
      <c r="O169" s="409"/>
      <c r="P169" s="409"/>
      <c r="Q169" s="409"/>
      <c r="R169" s="409"/>
      <c r="S169" s="409"/>
      <c r="T169" s="409"/>
      <c r="U169" s="409"/>
      <c r="V169" s="409"/>
      <c r="W169" s="410"/>
      <c r="X169" s="63"/>
      <c r="Y169" s="63"/>
      <c r="Z169" s="64"/>
      <c r="AA169" s="49"/>
      <c r="AB169" s="49"/>
      <c r="AC169" s="49"/>
      <c r="AD169" s="49"/>
      <c r="AE169" s="49"/>
      <c r="AF169" s="49"/>
    </row>
    <row r="170" spans="1:32" ht="48" customHeight="1">
      <c r="A170" s="447"/>
      <c r="B170" s="450"/>
      <c r="C170" s="427"/>
      <c r="D170" s="386"/>
      <c r="E170" s="386"/>
      <c r="F170" s="386"/>
      <c r="G170" s="386"/>
      <c r="H170" s="527"/>
      <c r="I170" s="317" t="s">
        <v>221</v>
      </c>
      <c r="J170" s="387" t="s">
        <v>223</v>
      </c>
      <c r="K170" s="427"/>
      <c r="L170" s="317" t="s">
        <v>221</v>
      </c>
      <c r="M170" s="416" t="s">
        <v>223</v>
      </c>
      <c r="N170" s="416"/>
      <c r="O170" s="411"/>
      <c r="P170" s="411"/>
      <c r="Q170" s="411"/>
      <c r="R170" s="411"/>
      <c r="S170" s="411"/>
      <c r="T170" s="411"/>
      <c r="U170" s="411"/>
      <c r="V170" s="411"/>
      <c r="W170" s="412"/>
      <c r="X170" s="63"/>
      <c r="Y170" s="63"/>
      <c r="Z170" s="64"/>
      <c r="AA170" s="49"/>
      <c r="AB170" s="49"/>
      <c r="AC170" s="49"/>
      <c r="AD170" s="49"/>
      <c r="AE170" s="49"/>
      <c r="AF170" s="49"/>
    </row>
    <row r="171" spans="1:32" s="152" customFormat="1" ht="11.25" customHeight="1">
      <c r="A171" s="289">
        <v>1</v>
      </c>
      <c r="B171" s="290">
        <v>2</v>
      </c>
      <c r="C171" s="283">
        <v>3</v>
      </c>
      <c r="D171" s="283"/>
      <c r="E171" s="283"/>
      <c r="F171" s="283"/>
      <c r="G171" s="283"/>
      <c r="H171" s="283">
        <v>4</v>
      </c>
      <c r="I171" s="290">
        <v>5</v>
      </c>
      <c r="J171" s="291">
        <v>6</v>
      </c>
      <c r="K171" s="388">
        <v>7</v>
      </c>
      <c r="L171" s="290">
        <v>8</v>
      </c>
      <c r="M171" s="417">
        <v>9</v>
      </c>
      <c r="N171" s="418"/>
      <c r="O171" s="419"/>
      <c r="P171" s="420"/>
      <c r="Q171" s="420"/>
      <c r="R171" s="420"/>
      <c r="S171" s="420"/>
      <c r="T171" s="420"/>
      <c r="U171" s="420"/>
      <c r="V171" s="420"/>
      <c r="W171" s="421"/>
      <c r="X171" s="151"/>
      <c r="Y171" s="151"/>
      <c r="Z171" s="151"/>
      <c r="AA171" s="151"/>
      <c r="AB171" s="151"/>
      <c r="AC171" s="151"/>
      <c r="AD171" s="151"/>
      <c r="AE171" s="151"/>
      <c r="AF171" s="151"/>
    </row>
    <row r="172" spans="1:23" s="33" customFormat="1" ht="12.75" customHeight="1">
      <c r="A172" s="65">
        <v>1</v>
      </c>
      <c r="B172" s="66" t="s">
        <v>138</v>
      </c>
      <c r="C172" s="386"/>
      <c r="D172" s="386"/>
      <c r="E172" s="386"/>
      <c r="F172" s="386"/>
      <c r="G172" s="386"/>
      <c r="H172" s="386"/>
      <c r="I172" s="237"/>
      <c r="J172" s="53"/>
      <c r="K172" s="386"/>
      <c r="L172" s="75"/>
      <c r="M172" s="417"/>
      <c r="N172" s="418"/>
      <c r="O172" s="419"/>
      <c r="P172" s="420"/>
      <c r="Q172" s="420"/>
      <c r="R172" s="420"/>
      <c r="S172" s="420"/>
      <c r="T172" s="420"/>
      <c r="U172" s="420"/>
      <c r="V172" s="420"/>
      <c r="W172" s="421"/>
    </row>
    <row r="173" spans="1:23" ht="12.75">
      <c r="A173" s="68"/>
      <c r="B173" s="69" t="s">
        <v>139</v>
      </c>
      <c r="C173" s="386"/>
      <c r="D173" s="386"/>
      <c r="E173" s="386"/>
      <c r="F173" s="386"/>
      <c r="G173" s="386"/>
      <c r="H173" s="386"/>
      <c r="I173" s="39"/>
      <c r="J173" s="139"/>
      <c r="K173" s="386"/>
      <c r="L173" s="242"/>
      <c r="M173" s="417"/>
      <c r="N173" s="418"/>
      <c r="O173" s="419"/>
      <c r="P173" s="420"/>
      <c r="Q173" s="420"/>
      <c r="R173" s="420"/>
      <c r="S173" s="420"/>
      <c r="T173" s="420"/>
      <c r="U173" s="420"/>
      <c r="V173" s="420"/>
      <c r="W173" s="421"/>
    </row>
    <row r="174" spans="1:23" ht="12.75">
      <c r="A174" s="68"/>
      <c r="B174" s="69" t="s">
        <v>140</v>
      </c>
      <c r="C174" s="386"/>
      <c r="D174" s="386"/>
      <c r="E174" s="386"/>
      <c r="F174" s="386"/>
      <c r="G174" s="386"/>
      <c r="H174" s="386"/>
      <c r="I174" s="39"/>
      <c r="J174" s="139"/>
      <c r="K174" s="386"/>
      <c r="L174" s="242"/>
      <c r="M174" s="417"/>
      <c r="N174" s="418"/>
      <c r="O174" s="419"/>
      <c r="P174" s="420"/>
      <c r="Q174" s="420"/>
      <c r="R174" s="420"/>
      <c r="S174" s="420"/>
      <c r="T174" s="420"/>
      <c r="U174" s="420"/>
      <c r="V174" s="420"/>
      <c r="W174" s="421"/>
    </row>
    <row r="175" spans="1:23" ht="12.75">
      <c r="A175" s="68"/>
      <c r="B175" s="71" t="s">
        <v>141</v>
      </c>
      <c r="C175" s="386"/>
      <c r="D175" s="386"/>
      <c r="E175" s="386"/>
      <c r="F175" s="386"/>
      <c r="G175" s="386"/>
      <c r="H175" s="386"/>
      <c r="I175" s="39"/>
      <c r="J175" s="139"/>
      <c r="K175" s="386"/>
      <c r="L175" s="242"/>
      <c r="M175" s="417"/>
      <c r="N175" s="418"/>
      <c r="O175" s="419"/>
      <c r="P175" s="420"/>
      <c r="Q175" s="420"/>
      <c r="R175" s="420"/>
      <c r="S175" s="420"/>
      <c r="T175" s="420"/>
      <c r="U175" s="420"/>
      <c r="V175" s="420"/>
      <c r="W175" s="421"/>
    </row>
    <row r="176" spans="1:23" s="33" customFormat="1" ht="12.75">
      <c r="A176" s="65">
        <v>2</v>
      </c>
      <c r="B176" s="244" t="s">
        <v>149</v>
      </c>
      <c r="C176" s="386"/>
      <c r="D176" s="386"/>
      <c r="E176" s="386"/>
      <c r="F176" s="386"/>
      <c r="G176" s="386"/>
      <c r="H176" s="386"/>
      <c r="I176" s="75"/>
      <c r="J176" s="53"/>
      <c r="K176" s="386"/>
      <c r="L176" s="75"/>
      <c r="M176" s="417"/>
      <c r="N176" s="418"/>
      <c r="O176" s="419"/>
      <c r="P176" s="420"/>
      <c r="Q176" s="420"/>
      <c r="R176" s="420"/>
      <c r="S176" s="420"/>
      <c r="T176" s="420"/>
      <c r="U176" s="420"/>
      <c r="V176" s="420"/>
      <c r="W176" s="421"/>
    </row>
    <row r="177" spans="1:23" ht="12.75">
      <c r="A177" s="68" t="s">
        <v>142</v>
      </c>
      <c r="B177" s="246" t="s">
        <v>143</v>
      </c>
      <c r="C177" s="386"/>
      <c r="D177" s="386"/>
      <c r="E177" s="386"/>
      <c r="F177" s="386"/>
      <c r="G177" s="386"/>
      <c r="H177" s="283">
        <v>1069.92</v>
      </c>
      <c r="I177" s="75">
        <f>181.2</f>
        <v>181.2</v>
      </c>
      <c r="J177" s="53">
        <f>H177</f>
        <v>1069.92</v>
      </c>
      <c r="K177" s="386"/>
      <c r="L177" s="75">
        <f>L178+L179</f>
        <v>181.2</v>
      </c>
      <c r="M177" s="451">
        <f>L164</f>
        <v>1817.726117174191</v>
      </c>
      <c r="N177" s="452"/>
      <c r="O177" s="453">
        <f>M177*L177/1000</f>
        <v>329.37197243196334</v>
      </c>
      <c r="P177" s="454"/>
      <c r="Q177" s="454"/>
      <c r="R177" s="454"/>
      <c r="S177" s="454"/>
      <c r="T177" s="454"/>
      <c r="U177" s="454"/>
      <c r="V177" s="454"/>
      <c r="W177" s="455"/>
    </row>
    <row r="178" spans="1:23" ht="15.75" customHeight="1">
      <c r="A178" s="68"/>
      <c r="B178" s="246" t="s">
        <v>177</v>
      </c>
      <c r="C178" s="386"/>
      <c r="D178" s="386"/>
      <c r="E178" s="386"/>
      <c r="F178" s="386"/>
      <c r="G178" s="386"/>
      <c r="H178" s="283">
        <f>H177</f>
        <v>1069.92</v>
      </c>
      <c r="I178" s="43">
        <f>I177</f>
        <v>181.2</v>
      </c>
      <c r="J178" s="53">
        <f>J177</f>
        <v>1069.92</v>
      </c>
      <c r="K178" s="386"/>
      <c r="L178" s="6">
        <v>181.2</v>
      </c>
      <c r="M178" s="456">
        <f>M177</f>
        <v>1817.726117174191</v>
      </c>
      <c r="N178" s="457"/>
      <c r="O178" s="453">
        <f>M178*L178/1000</f>
        <v>329.37197243196334</v>
      </c>
      <c r="P178" s="454"/>
      <c r="Q178" s="454"/>
      <c r="R178" s="454"/>
      <c r="S178" s="454"/>
      <c r="T178" s="454"/>
      <c r="U178" s="454"/>
      <c r="V178" s="454"/>
      <c r="W178" s="455"/>
    </row>
    <row r="179" spans="1:23" ht="12.75">
      <c r="A179" s="68"/>
      <c r="B179" s="246" t="s">
        <v>145</v>
      </c>
      <c r="C179" s="386"/>
      <c r="D179" s="386"/>
      <c r="E179" s="386"/>
      <c r="F179" s="386"/>
      <c r="G179" s="386"/>
      <c r="H179" s="386"/>
      <c r="I179" s="43"/>
      <c r="J179" s="53"/>
      <c r="K179" s="386"/>
      <c r="L179" s="389"/>
      <c r="M179" s="456"/>
      <c r="N179" s="457"/>
      <c r="O179" s="458"/>
      <c r="P179" s="459"/>
      <c r="Q179" s="459"/>
      <c r="R179" s="459"/>
      <c r="S179" s="459"/>
      <c r="T179" s="459"/>
      <c r="U179" s="459"/>
      <c r="V179" s="459"/>
      <c r="W179" s="460"/>
    </row>
    <row r="180" spans="1:23" ht="15" customHeight="1">
      <c r="A180" s="72" t="s">
        <v>146</v>
      </c>
      <c r="B180" s="246" t="s">
        <v>176</v>
      </c>
      <c r="C180" s="386"/>
      <c r="D180" s="386"/>
      <c r="E180" s="386"/>
      <c r="F180" s="386"/>
      <c r="G180" s="386"/>
      <c r="H180" s="386"/>
      <c r="I180" s="39"/>
      <c r="J180" s="139"/>
      <c r="K180" s="386"/>
      <c r="L180" s="242"/>
      <c r="M180" s="456"/>
      <c r="N180" s="457"/>
      <c r="O180" s="458"/>
      <c r="P180" s="459"/>
      <c r="Q180" s="459"/>
      <c r="R180" s="459"/>
      <c r="S180" s="459"/>
      <c r="T180" s="459"/>
      <c r="U180" s="459"/>
      <c r="V180" s="459"/>
      <c r="W180" s="460"/>
    </row>
    <row r="181" spans="1:23" ht="15" customHeight="1">
      <c r="A181" s="73" t="s">
        <v>148</v>
      </c>
      <c r="B181" s="246" t="s">
        <v>149</v>
      </c>
      <c r="C181" s="386"/>
      <c r="D181" s="386"/>
      <c r="E181" s="386"/>
      <c r="F181" s="386"/>
      <c r="G181" s="386"/>
      <c r="H181" s="386"/>
      <c r="I181" s="39"/>
      <c r="J181" s="139"/>
      <c r="K181" s="386"/>
      <c r="L181" s="243"/>
      <c r="M181" s="456"/>
      <c r="N181" s="457"/>
      <c r="O181" s="458"/>
      <c r="P181" s="459"/>
      <c r="Q181" s="459"/>
      <c r="R181" s="459"/>
      <c r="S181" s="459"/>
      <c r="T181" s="459"/>
      <c r="U181" s="459"/>
      <c r="V181" s="459"/>
      <c r="W181" s="460"/>
    </row>
    <row r="182" spans="1:23" s="33" customFormat="1" ht="15" customHeight="1">
      <c r="A182" s="74">
        <v>3</v>
      </c>
      <c r="B182" s="244" t="s">
        <v>150</v>
      </c>
      <c r="C182" s="386"/>
      <c r="D182" s="386"/>
      <c r="E182" s="386"/>
      <c r="F182" s="386"/>
      <c r="G182" s="386"/>
      <c r="H182" s="386"/>
      <c r="I182" s="67"/>
      <c r="J182" s="53"/>
      <c r="K182" s="386"/>
      <c r="L182" s="242"/>
      <c r="M182" s="456"/>
      <c r="N182" s="457"/>
      <c r="O182" s="458"/>
      <c r="P182" s="459"/>
      <c r="Q182" s="459"/>
      <c r="R182" s="459"/>
      <c r="S182" s="459"/>
      <c r="T182" s="459"/>
      <c r="U182" s="459"/>
      <c r="V182" s="459"/>
      <c r="W182" s="460"/>
    </row>
    <row r="183" spans="1:23" s="21" customFormat="1" ht="15.75" customHeight="1">
      <c r="A183" s="12"/>
      <c r="B183" s="247" t="s">
        <v>151</v>
      </c>
      <c r="C183" s="386"/>
      <c r="D183" s="386"/>
      <c r="E183" s="386"/>
      <c r="F183" s="386"/>
      <c r="G183" s="386"/>
      <c r="H183" s="386"/>
      <c r="I183" s="77">
        <f>I177</f>
        <v>181.2</v>
      </c>
      <c r="J183" s="112">
        <f>J178</f>
        <v>1069.92</v>
      </c>
      <c r="K183" s="386"/>
      <c r="L183" s="77">
        <f>L172+L176+L182</f>
        <v>0</v>
      </c>
      <c r="M183" s="456">
        <f>M178</f>
        <v>1817.726117174191</v>
      </c>
      <c r="N183" s="457"/>
      <c r="O183" s="458">
        <f>O177</f>
        <v>329.37197243196334</v>
      </c>
      <c r="P183" s="459"/>
      <c r="Q183" s="459"/>
      <c r="R183" s="459"/>
      <c r="S183" s="459"/>
      <c r="T183" s="459"/>
      <c r="U183" s="459"/>
      <c r="V183" s="459"/>
      <c r="W183" s="460"/>
    </row>
    <row r="184" spans="1:23" s="21" customFormat="1" ht="21" customHeight="1">
      <c r="A184" s="233"/>
      <c r="B184" s="461" t="s">
        <v>204</v>
      </c>
      <c r="C184" s="462"/>
      <c r="D184" s="463"/>
      <c r="E184" s="234">
        <f>(E172*C172+E177*C177+E180*C180+E181*C181+E182*C182)/1000</f>
        <v>0</v>
      </c>
      <c r="F184" s="164" t="s">
        <v>65</v>
      </c>
      <c r="G184" s="234"/>
      <c r="H184" s="164" t="s">
        <v>65</v>
      </c>
      <c r="I184" s="164" t="s">
        <v>65</v>
      </c>
      <c r="J184" s="112">
        <f>J178*I178/1000</f>
        <v>193.869504</v>
      </c>
      <c r="K184" s="112"/>
      <c r="L184" s="164"/>
      <c r="M184" s="464"/>
      <c r="N184" s="465"/>
      <c r="O184" s="466" t="s">
        <v>65</v>
      </c>
      <c r="P184" s="467"/>
      <c r="Q184" s="467"/>
      <c r="R184" s="467"/>
      <c r="S184" s="467"/>
      <c r="T184" s="467"/>
      <c r="U184" s="467"/>
      <c r="V184" s="467"/>
      <c r="W184" s="468"/>
    </row>
    <row r="185" spans="1:23" s="21" customFormat="1" ht="15.75" customHeight="1">
      <c r="A185" s="233"/>
      <c r="B185" s="461" t="s">
        <v>205</v>
      </c>
      <c r="C185" s="462"/>
      <c r="D185" s="463"/>
      <c r="E185" s="234">
        <f>(E172*D172+E177*D177+E180*D180+E181*D181+E182*D182)/1000</f>
        <v>0</v>
      </c>
      <c r="F185" s="164" t="s">
        <v>65</v>
      </c>
      <c r="G185" s="234">
        <f>(J172*G172+J177*G177+J180*G180+J181*G181+J182*G182)/1000</f>
        <v>0</v>
      </c>
      <c r="H185" s="164" t="s">
        <v>65</v>
      </c>
      <c r="I185" s="164" t="s">
        <v>65</v>
      </c>
      <c r="J185" s="164"/>
      <c r="K185" s="164"/>
      <c r="L185" s="164"/>
      <c r="M185" s="464"/>
      <c r="N185" s="465"/>
      <c r="O185" s="466" t="s">
        <v>65</v>
      </c>
      <c r="P185" s="467"/>
      <c r="Q185" s="467"/>
      <c r="R185" s="467"/>
      <c r="S185" s="467"/>
      <c r="T185" s="467"/>
      <c r="U185" s="467"/>
      <c r="V185" s="467"/>
      <c r="W185" s="468"/>
    </row>
    <row r="186" spans="1:23" ht="27" customHeight="1">
      <c r="A186" s="159"/>
      <c r="B186" s="461" t="s">
        <v>200</v>
      </c>
      <c r="C186" s="462"/>
      <c r="D186" s="463"/>
      <c r="E186" s="216">
        <f>D163-E184</f>
        <v>0</v>
      </c>
      <c r="F186" s="164" t="s">
        <v>65</v>
      </c>
      <c r="G186" s="164" t="s">
        <v>65</v>
      </c>
      <c r="H186" s="164" t="s">
        <v>65</v>
      </c>
      <c r="I186" s="164" t="s">
        <v>65</v>
      </c>
      <c r="J186" s="216">
        <f>I163-J184</f>
        <v>111.2734212003802</v>
      </c>
      <c r="K186" s="216"/>
      <c r="L186" s="164"/>
      <c r="M186" s="464"/>
      <c r="N186" s="465"/>
      <c r="O186" s="466" t="s">
        <v>65</v>
      </c>
      <c r="P186" s="467"/>
      <c r="Q186" s="467"/>
      <c r="R186" s="467"/>
      <c r="S186" s="467"/>
      <c r="T186" s="467"/>
      <c r="U186" s="467"/>
      <c r="V186" s="467"/>
      <c r="W186" s="468"/>
    </row>
    <row r="187" spans="1:23" ht="16.5" customHeight="1">
      <c r="A187" s="160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340"/>
      <c r="N187" s="161"/>
      <c r="O187" s="161"/>
      <c r="P187" s="160"/>
      <c r="Q187" s="160"/>
      <c r="R187" s="160"/>
      <c r="S187" s="160"/>
      <c r="T187" s="160"/>
      <c r="U187" s="160"/>
      <c r="V187" s="160"/>
      <c r="W187" s="162"/>
    </row>
    <row r="188" spans="1:23" ht="30" customHeight="1">
      <c r="A188" s="469" t="s">
        <v>152</v>
      </c>
      <c r="B188" s="469"/>
      <c r="C188" s="469"/>
      <c r="D188" s="469"/>
      <c r="E188" s="469"/>
      <c r="F188" s="469"/>
      <c r="G188" s="469"/>
      <c r="H188" s="469"/>
      <c r="I188" s="469"/>
      <c r="J188" s="469"/>
      <c r="K188" s="79"/>
      <c r="L188" s="80"/>
      <c r="M188" s="80"/>
      <c r="N188" s="470" t="s">
        <v>153</v>
      </c>
      <c r="O188" s="470"/>
      <c r="P188" s="470"/>
      <c r="Q188" s="470"/>
      <c r="R188" s="470"/>
      <c r="S188" s="470"/>
      <c r="T188" s="470"/>
      <c r="U188" s="470"/>
      <c r="V188" s="470"/>
      <c r="W188" s="470"/>
    </row>
    <row r="189" spans="1:23" s="49" customFormat="1" ht="5.25" customHeight="1" hidden="1">
      <c r="A189" s="121"/>
      <c r="B189" s="122"/>
      <c r="C189" s="133"/>
      <c r="D189" s="82"/>
      <c r="E189" s="90"/>
      <c r="F189" s="123"/>
      <c r="G189" s="123"/>
      <c r="H189" s="80"/>
      <c r="I189" s="80"/>
      <c r="J189" s="80"/>
      <c r="K189" s="80"/>
      <c r="L189" s="80"/>
      <c r="M189" s="80"/>
      <c r="N189" s="89"/>
      <c r="O189" s="89"/>
      <c r="P189" s="124"/>
      <c r="Q189" s="124"/>
      <c r="R189" s="124"/>
      <c r="S189" s="125"/>
      <c r="T189" s="124"/>
      <c r="U189" s="124"/>
      <c r="V189" s="124"/>
      <c r="W189" s="89"/>
    </row>
    <row r="190" spans="1:23" ht="6.75" customHeight="1" hidden="1">
      <c r="A190" s="85"/>
      <c r="B190" s="85"/>
      <c r="C190" s="133"/>
      <c r="D190" s="82"/>
      <c r="E190" s="90"/>
      <c r="F190" s="80"/>
      <c r="G190" s="80"/>
      <c r="H190" s="86"/>
      <c r="I190" s="86"/>
      <c r="J190" s="87"/>
      <c r="K190" s="87"/>
      <c r="L190" s="80"/>
      <c r="M190" s="80"/>
      <c r="N190" s="88"/>
      <c r="O190" s="88"/>
      <c r="P190" s="83"/>
      <c r="Q190" s="83"/>
      <c r="R190" s="83"/>
      <c r="S190" s="84"/>
      <c r="T190" s="83"/>
      <c r="U190" s="83"/>
      <c r="V190" s="83"/>
      <c r="W190" s="88"/>
    </row>
    <row r="191" spans="1:23" ht="30.75" customHeight="1">
      <c r="A191" s="469" t="s">
        <v>154</v>
      </c>
      <c r="B191" s="469"/>
      <c r="C191" s="469"/>
      <c r="D191" s="469"/>
      <c r="E191" s="469"/>
      <c r="F191" s="80"/>
      <c r="G191" s="80"/>
      <c r="H191" s="471"/>
      <c r="I191" s="471"/>
      <c r="J191" s="471"/>
      <c r="K191" s="80"/>
      <c r="L191" s="80"/>
      <c r="M191" s="80"/>
      <c r="N191" s="472" t="s">
        <v>155</v>
      </c>
      <c r="O191" s="472"/>
      <c r="P191" s="472"/>
      <c r="Q191" s="472"/>
      <c r="R191" s="472"/>
      <c r="S191" s="472"/>
      <c r="T191" s="472"/>
      <c r="U191" s="472"/>
      <c r="V191" s="472"/>
      <c r="W191" s="472"/>
    </row>
    <row r="192" spans="1:23" ht="6" customHeight="1" hidden="1">
      <c r="A192" s="78"/>
      <c r="B192" s="82"/>
      <c r="C192" s="133"/>
      <c r="D192" s="82"/>
      <c r="E192" s="90"/>
      <c r="F192" s="80"/>
      <c r="G192" s="80"/>
      <c r="H192" s="80"/>
      <c r="I192" s="80"/>
      <c r="J192" s="80"/>
      <c r="K192" s="80"/>
      <c r="L192" s="80"/>
      <c r="M192" s="80"/>
      <c r="N192" s="89"/>
      <c r="O192" s="89"/>
      <c r="P192" s="83"/>
      <c r="Q192" s="83"/>
      <c r="R192" s="83"/>
      <c r="S192" s="84"/>
      <c r="T192" s="83"/>
      <c r="U192" s="83"/>
      <c r="V192" s="83"/>
      <c r="W192" s="89"/>
    </row>
    <row r="193" spans="1:23" ht="15" customHeight="1" hidden="1">
      <c r="A193" s="78"/>
      <c r="B193" s="82"/>
      <c r="C193" s="133"/>
      <c r="D193" s="90"/>
      <c r="E193" s="90"/>
      <c r="F193" s="80"/>
      <c r="G193" s="80"/>
      <c r="H193" s="80"/>
      <c r="I193" s="80"/>
      <c r="J193" s="80"/>
      <c r="K193" s="81"/>
      <c r="L193" s="91"/>
      <c r="M193" s="80"/>
      <c r="N193" s="89"/>
      <c r="O193" s="92"/>
      <c r="P193" s="83"/>
      <c r="Q193" s="83"/>
      <c r="R193" s="83"/>
      <c r="S193" s="84"/>
      <c r="T193" s="83"/>
      <c r="U193" s="83"/>
      <c r="V193" s="83"/>
      <c r="W193" s="92"/>
    </row>
    <row r="194" spans="1:23" ht="15.75" customHeight="1" hidden="1">
      <c r="A194" s="78"/>
      <c r="B194" s="82"/>
      <c r="C194" s="133"/>
      <c r="D194" s="90"/>
      <c r="E194" s="90"/>
      <c r="F194" s="80"/>
      <c r="G194" s="80"/>
      <c r="H194" s="80"/>
      <c r="I194" s="80"/>
      <c r="J194" s="80"/>
      <c r="K194" s="81"/>
      <c r="L194" s="91"/>
      <c r="M194" s="80"/>
      <c r="N194" s="89"/>
      <c r="O194" s="92"/>
      <c r="P194" s="83"/>
      <c r="Q194" s="83"/>
      <c r="R194" s="83"/>
      <c r="S194" s="84"/>
      <c r="T194" s="83"/>
      <c r="U194" s="83"/>
      <c r="V194" s="83"/>
      <c r="W194" s="92"/>
    </row>
    <row r="195" spans="1:23" ht="35.25" customHeight="1">
      <c r="A195" s="469" t="s">
        <v>156</v>
      </c>
      <c r="B195" s="469"/>
      <c r="C195" s="469"/>
      <c r="D195" s="469"/>
      <c r="E195" s="469"/>
      <c r="F195" s="473"/>
      <c r="G195" s="473"/>
      <c r="H195" s="87"/>
      <c r="I195" s="87"/>
      <c r="J195" s="80"/>
      <c r="K195" s="93"/>
      <c r="L195" s="93"/>
      <c r="M195" s="341"/>
      <c r="N195" s="474" t="s">
        <v>203</v>
      </c>
      <c r="O195" s="474"/>
      <c r="P195" s="474"/>
      <c r="Q195" s="474"/>
      <c r="R195" s="474"/>
      <c r="S195" s="474"/>
      <c r="T195" s="474"/>
      <c r="U195" s="474"/>
      <c r="V195" s="474"/>
      <c r="W195" s="474"/>
    </row>
    <row r="196" spans="1:23" s="215" customFormat="1" ht="20.25" customHeight="1">
      <c r="A196" s="475" t="s">
        <v>211</v>
      </c>
      <c r="B196" s="476"/>
      <c r="C196" s="476"/>
      <c r="D196" s="476"/>
      <c r="E196" s="476"/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205.5" customHeight="1" hidden="1">
      <c r="A197" s="97"/>
      <c r="B197" s="98"/>
      <c r="C197" s="135"/>
      <c r="D197" s="94"/>
      <c r="E197" s="99"/>
      <c r="F197" s="99"/>
      <c r="G197" s="99"/>
      <c r="H197" s="99"/>
      <c r="I197" s="99"/>
      <c r="J197" s="95"/>
      <c r="K197"/>
      <c r="L197"/>
      <c r="M197" s="96"/>
      <c r="N197"/>
      <c r="O197"/>
      <c r="W197"/>
    </row>
    <row r="198" spans="1:23" ht="12.75" hidden="1">
      <c r="A198" s="100"/>
      <c r="B198" s="100"/>
      <c r="C198" s="134"/>
      <c r="D198" s="101"/>
      <c r="E198" s="101"/>
      <c r="F198" s="101"/>
      <c r="G198" s="101"/>
      <c r="H198" s="101"/>
      <c r="I198" s="101"/>
      <c r="J198" s="101"/>
      <c r="K198" s="102"/>
      <c r="L198"/>
      <c r="M198" s="96"/>
      <c r="N198"/>
      <c r="O198"/>
      <c r="W198"/>
    </row>
    <row r="199" spans="1:23" ht="12.75" hidden="1">
      <c r="A199" s="102"/>
      <c r="B199" s="100"/>
      <c r="C199" s="134"/>
      <c r="D199" s="100"/>
      <c r="E199" s="101"/>
      <c r="F199" s="101"/>
      <c r="G199" s="101"/>
      <c r="H199" s="101"/>
      <c r="I199" s="101"/>
      <c r="J199" s="101"/>
      <c r="K199" s="101"/>
      <c r="L199" s="101"/>
      <c r="M199" s="342"/>
      <c r="N199"/>
      <c r="O199"/>
      <c r="W199"/>
    </row>
    <row r="200" spans="1:23" ht="12.75" hidden="1">
      <c r="A200" s="102"/>
      <c r="B200" s="100"/>
      <c r="C200" s="134"/>
      <c r="D200" s="100"/>
      <c r="E200" s="101"/>
      <c r="F200" s="101"/>
      <c r="G200" s="101"/>
      <c r="H200" s="101"/>
      <c r="I200" s="101"/>
      <c r="J200" s="101"/>
      <c r="K200" s="101"/>
      <c r="L200" s="101"/>
      <c r="M200" s="342"/>
      <c r="N200"/>
      <c r="O200"/>
      <c r="W200"/>
    </row>
    <row r="201" spans="1:23" ht="1.5" customHeight="1" hidden="1">
      <c r="A201" s="477" t="s">
        <v>172</v>
      </c>
      <c r="B201" s="477"/>
      <c r="C201" s="477"/>
      <c r="D201" s="477"/>
      <c r="E201" s="477"/>
      <c r="F201" s="477"/>
      <c r="G201" s="477"/>
      <c r="H201" s="477"/>
      <c r="I201" s="477"/>
      <c r="J201" s="477"/>
      <c r="K201" s="477"/>
      <c r="L201" s="477"/>
      <c r="M201" s="477"/>
      <c r="N201" s="477"/>
      <c r="O201" s="477"/>
      <c r="P201" s="477"/>
      <c r="Q201" s="477"/>
      <c r="R201" s="477"/>
      <c r="S201" s="477"/>
      <c r="T201" s="477"/>
      <c r="U201" s="477"/>
      <c r="V201" s="477"/>
      <c r="W201" s="100"/>
    </row>
    <row r="202" spans="1:23" ht="12.75" hidden="1">
      <c r="A202" s="102"/>
      <c r="B202" s="100"/>
      <c r="C202" s="134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0"/>
      <c r="O202" s="100"/>
      <c r="W202" s="100"/>
    </row>
    <row r="203" spans="1:32" ht="164.25" customHeight="1">
      <c r="A203" s="293" t="s">
        <v>0</v>
      </c>
      <c r="B203" s="294" t="s">
        <v>131</v>
      </c>
      <c r="C203" s="295" t="s">
        <v>157</v>
      </c>
      <c r="D203" s="296" t="s">
        <v>158</v>
      </c>
      <c r="E203" s="297" t="s">
        <v>159</v>
      </c>
      <c r="F203" s="296" t="s">
        <v>160</v>
      </c>
      <c r="G203" s="298" t="s">
        <v>161</v>
      </c>
      <c r="H203" s="298" t="s">
        <v>162</v>
      </c>
      <c r="I203" s="298" t="s">
        <v>163</v>
      </c>
      <c r="J203" s="299" t="s">
        <v>164</v>
      </c>
      <c r="K203" s="296" t="s">
        <v>165</v>
      </c>
      <c r="L203" s="478" t="s">
        <v>202</v>
      </c>
      <c r="M203" s="478"/>
      <c r="N203" s="478" t="s">
        <v>201</v>
      </c>
      <c r="O203" s="478"/>
      <c r="P203" s="478"/>
      <c r="Q203" s="478"/>
      <c r="R203" s="478"/>
      <c r="S203" s="478"/>
      <c r="T203" s="478"/>
      <c r="U203" s="478"/>
      <c r="V203" s="478"/>
      <c r="W203" s="478"/>
      <c r="X203" s="103"/>
      <c r="Y203" s="103"/>
      <c r="Z203" s="103"/>
      <c r="AA203" s="103"/>
      <c r="AB203" s="103"/>
      <c r="AC203" s="103"/>
      <c r="AD203" s="479"/>
      <c r="AE203" s="479"/>
      <c r="AF203" s="104"/>
    </row>
    <row r="204" spans="1:32" s="156" customFormat="1" ht="10.5">
      <c r="A204" s="300">
        <v>1</v>
      </c>
      <c r="B204" s="301">
        <v>2</v>
      </c>
      <c r="C204" s="289">
        <v>3</v>
      </c>
      <c r="D204" s="301">
        <v>4</v>
      </c>
      <c r="E204" s="302">
        <v>5</v>
      </c>
      <c r="F204" s="301">
        <v>6</v>
      </c>
      <c r="G204" s="289">
        <v>7</v>
      </c>
      <c r="H204" s="301">
        <v>8</v>
      </c>
      <c r="I204" s="289">
        <v>9</v>
      </c>
      <c r="J204" s="303">
        <v>10</v>
      </c>
      <c r="K204" s="289">
        <v>11</v>
      </c>
      <c r="L204" s="480">
        <v>12</v>
      </c>
      <c r="M204" s="480"/>
      <c r="N204" s="481">
        <v>13</v>
      </c>
      <c r="O204" s="482"/>
      <c r="P204" s="482"/>
      <c r="Q204" s="482"/>
      <c r="R204" s="482"/>
      <c r="S204" s="482"/>
      <c r="T204" s="482"/>
      <c r="U204" s="482"/>
      <c r="V204" s="482"/>
      <c r="W204" s="483"/>
      <c r="X204" s="140"/>
      <c r="Y204" s="140"/>
      <c r="Z204" s="140"/>
      <c r="AA204" s="140"/>
      <c r="AB204" s="140"/>
      <c r="AC204" s="140"/>
      <c r="AD204" s="484"/>
      <c r="AE204" s="484"/>
      <c r="AF204" s="155"/>
    </row>
    <row r="205" spans="1:32" ht="25.5">
      <c r="A205" s="2">
        <v>1</v>
      </c>
      <c r="B205" s="66" t="s">
        <v>138</v>
      </c>
      <c r="C205" s="136" t="s">
        <v>53</v>
      </c>
      <c r="D205" s="136" t="s">
        <v>53</v>
      </c>
      <c r="E205" s="136" t="s">
        <v>53</v>
      </c>
      <c r="F205" s="136" t="s">
        <v>53</v>
      </c>
      <c r="G205" s="136" t="s">
        <v>53</v>
      </c>
      <c r="H205" s="136" t="s">
        <v>53</v>
      </c>
      <c r="I205" s="136" t="s">
        <v>53</v>
      </c>
      <c r="J205" s="280" t="s">
        <v>53</v>
      </c>
      <c r="K205" s="126" t="s">
        <v>53</v>
      </c>
      <c r="L205" s="485">
        <f>L206+L207+L208</f>
        <v>0</v>
      </c>
      <c r="M205" s="485"/>
      <c r="N205" s="486">
        <f>N206+N207+N208</f>
        <v>0</v>
      </c>
      <c r="O205" s="487"/>
      <c r="P205" s="487"/>
      <c r="Q205" s="487"/>
      <c r="R205" s="487"/>
      <c r="S205" s="487"/>
      <c r="T205" s="487"/>
      <c r="U205" s="487"/>
      <c r="V205" s="487"/>
      <c r="W205" s="488"/>
      <c r="X205" s="105"/>
      <c r="Y205" s="105"/>
      <c r="Z205" s="105"/>
      <c r="AA205" s="105"/>
      <c r="AB205" s="105"/>
      <c r="AC205" s="105"/>
      <c r="AD205" s="489"/>
      <c r="AE205" s="489"/>
      <c r="AF205" s="104"/>
    </row>
    <row r="206" spans="1:32" ht="12.75">
      <c r="A206" s="128"/>
      <c r="B206" s="129" t="s">
        <v>139</v>
      </c>
      <c r="C206" s="137" t="s">
        <v>53</v>
      </c>
      <c r="D206" s="137" t="s">
        <v>53</v>
      </c>
      <c r="E206" s="137" t="s">
        <v>53</v>
      </c>
      <c r="F206" s="137" t="s">
        <v>53</v>
      </c>
      <c r="G206" s="137" t="s">
        <v>53</v>
      </c>
      <c r="H206" s="137" t="s">
        <v>53</v>
      </c>
      <c r="I206" s="137" t="s">
        <v>53</v>
      </c>
      <c r="J206" s="281" t="s">
        <v>53</v>
      </c>
      <c r="K206" s="126" t="s">
        <v>53</v>
      </c>
      <c r="L206" s="490"/>
      <c r="M206" s="490"/>
      <c r="N206" s="491"/>
      <c r="O206" s="492"/>
      <c r="P206" s="492"/>
      <c r="Q206" s="492"/>
      <c r="R206" s="492"/>
      <c r="S206" s="492"/>
      <c r="T206" s="492"/>
      <c r="U206" s="492"/>
      <c r="V206" s="492"/>
      <c r="W206" s="493"/>
      <c r="X206" s="105"/>
      <c r="Y206" s="105"/>
      <c r="Z206" s="105"/>
      <c r="AA206" s="105"/>
      <c r="AB206" s="105"/>
      <c r="AC206" s="105"/>
      <c r="AD206" s="494"/>
      <c r="AE206" s="494"/>
      <c r="AF206" s="104"/>
    </row>
    <row r="207" spans="1:32" ht="12.75">
      <c r="A207" s="68"/>
      <c r="B207" s="69" t="s">
        <v>140</v>
      </c>
      <c r="C207" s="126" t="s">
        <v>53</v>
      </c>
      <c r="D207" s="126" t="s">
        <v>53</v>
      </c>
      <c r="E207" s="126" t="s">
        <v>53</v>
      </c>
      <c r="F207" s="126" t="s">
        <v>53</v>
      </c>
      <c r="G207" s="126" t="s">
        <v>53</v>
      </c>
      <c r="H207" s="126" t="s">
        <v>53</v>
      </c>
      <c r="I207" s="126" t="s">
        <v>53</v>
      </c>
      <c r="J207" s="279" t="s">
        <v>53</v>
      </c>
      <c r="K207" s="126" t="s">
        <v>53</v>
      </c>
      <c r="L207" s="490"/>
      <c r="M207" s="490"/>
      <c r="N207" s="491"/>
      <c r="O207" s="492"/>
      <c r="P207" s="492"/>
      <c r="Q207" s="492"/>
      <c r="R207" s="492"/>
      <c r="S207" s="492"/>
      <c r="T207" s="492"/>
      <c r="U207" s="492"/>
      <c r="V207" s="492"/>
      <c r="W207" s="493"/>
      <c r="X207" s="105"/>
      <c r="Y207" s="105"/>
      <c r="Z207" s="105"/>
      <c r="AA207" s="105"/>
      <c r="AB207" s="105"/>
      <c r="AC207" s="105"/>
      <c r="AD207" s="494"/>
      <c r="AE207" s="494"/>
      <c r="AF207" s="104"/>
    </row>
    <row r="208" spans="1:32" ht="12.75">
      <c r="A208" s="68"/>
      <c r="B208" s="71" t="s">
        <v>141</v>
      </c>
      <c r="C208" s="126" t="s">
        <v>53</v>
      </c>
      <c r="D208" s="126" t="s">
        <v>53</v>
      </c>
      <c r="E208" s="126" t="s">
        <v>53</v>
      </c>
      <c r="F208" s="126" t="s">
        <v>53</v>
      </c>
      <c r="G208" s="126" t="s">
        <v>53</v>
      </c>
      <c r="H208" s="126" t="s">
        <v>53</v>
      </c>
      <c r="I208" s="126" t="s">
        <v>53</v>
      </c>
      <c r="J208" s="279" t="s">
        <v>53</v>
      </c>
      <c r="K208" s="126" t="s">
        <v>53</v>
      </c>
      <c r="L208" s="495"/>
      <c r="M208" s="495"/>
      <c r="N208" s="491"/>
      <c r="O208" s="492"/>
      <c r="P208" s="492"/>
      <c r="Q208" s="492"/>
      <c r="R208" s="492"/>
      <c r="S208" s="492"/>
      <c r="T208" s="492"/>
      <c r="U208" s="492"/>
      <c r="V208" s="492"/>
      <c r="W208" s="493"/>
      <c r="X208" s="105"/>
      <c r="Y208" s="105"/>
      <c r="Z208" s="105"/>
      <c r="AA208" s="105"/>
      <c r="AB208" s="105"/>
      <c r="AC208" s="105"/>
      <c r="AD208" s="494"/>
      <c r="AE208" s="494"/>
      <c r="AF208" s="104"/>
    </row>
    <row r="209" spans="1:32" ht="14.25" customHeight="1">
      <c r="A209" s="65">
        <v>2</v>
      </c>
      <c r="B209" s="66" t="s">
        <v>149</v>
      </c>
      <c r="C209" s="39"/>
      <c r="D209" s="126"/>
      <c r="E209" s="126"/>
      <c r="F209" s="126"/>
      <c r="G209" s="126"/>
      <c r="H209" s="126"/>
      <c r="I209" s="126"/>
      <c r="J209" s="126"/>
      <c r="K209" s="126"/>
      <c r="L209" s="496">
        <f>L211+L212+L213+L214</f>
        <v>181.19904000000002</v>
      </c>
      <c r="M209" s="496"/>
      <c r="N209" s="486">
        <f>N210+N214</f>
        <v>0</v>
      </c>
      <c r="O209" s="487"/>
      <c r="P209" s="487"/>
      <c r="Q209" s="487"/>
      <c r="R209" s="487"/>
      <c r="S209" s="487"/>
      <c r="T209" s="487"/>
      <c r="U209" s="487"/>
      <c r="V209" s="487"/>
      <c r="W209" s="488"/>
      <c r="X209" s="105"/>
      <c r="Y209" s="105"/>
      <c r="Z209" s="105"/>
      <c r="AA209" s="105"/>
      <c r="AB209" s="105"/>
      <c r="AC209" s="105"/>
      <c r="AD209" s="106"/>
      <c r="AE209" s="106"/>
      <c r="AF209" s="104"/>
    </row>
    <row r="210" spans="1:32" ht="14.25" customHeight="1">
      <c r="A210" s="68" t="s">
        <v>142</v>
      </c>
      <c r="B210" s="71" t="s">
        <v>143</v>
      </c>
      <c r="C210" s="113">
        <f>C211+C212</f>
        <v>181.19904000000002</v>
      </c>
      <c r="D210" s="304">
        <f aca="true" t="shared" si="50" ref="D210:K210">D211+D212</f>
        <v>0.264</v>
      </c>
      <c r="E210" s="126">
        <f t="shared" si="50"/>
        <v>686.36</v>
      </c>
      <c r="F210" s="113">
        <f t="shared" si="50"/>
        <v>0</v>
      </c>
      <c r="G210" s="113">
        <f t="shared" si="50"/>
        <v>0</v>
      </c>
      <c r="H210" s="304">
        <f t="shared" si="50"/>
        <v>0</v>
      </c>
      <c r="I210" s="304">
        <f t="shared" si="50"/>
        <v>0</v>
      </c>
      <c r="J210" s="304">
        <f t="shared" si="50"/>
        <v>0</v>
      </c>
      <c r="K210" s="113">
        <f t="shared" si="50"/>
        <v>0</v>
      </c>
      <c r="L210" s="497">
        <f>C210+F210+G210+K210</f>
        <v>181.19904000000002</v>
      </c>
      <c r="M210" s="497"/>
      <c r="N210" s="498">
        <v>0</v>
      </c>
      <c r="O210" s="499"/>
      <c r="P210" s="499"/>
      <c r="Q210" s="499"/>
      <c r="R210" s="499"/>
      <c r="S210" s="499"/>
      <c r="T210" s="499"/>
      <c r="U210" s="499"/>
      <c r="V210" s="499"/>
      <c r="W210" s="500"/>
      <c r="X210" s="105"/>
      <c r="Y210" s="105"/>
      <c r="Z210" s="105"/>
      <c r="AA210" s="105"/>
      <c r="AB210" s="105"/>
      <c r="AC210" s="105"/>
      <c r="AD210" s="106"/>
      <c r="AE210" s="106"/>
      <c r="AF210" s="104"/>
    </row>
    <row r="211" spans="1:32" ht="21.75" customHeight="1">
      <c r="A211" s="68"/>
      <c r="B211" s="71" t="s">
        <v>144</v>
      </c>
      <c r="C211" s="145">
        <f>D211*E211</f>
        <v>181.19904000000002</v>
      </c>
      <c r="D211" s="39">
        <v>0.264</v>
      </c>
      <c r="E211" s="108">
        <v>686.36</v>
      </c>
      <c r="F211" s="146">
        <v>0</v>
      </c>
      <c r="G211" s="147">
        <f>H211*I211*J211</f>
        <v>0</v>
      </c>
      <c r="H211" s="107">
        <v>0</v>
      </c>
      <c r="I211" s="107">
        <v>0</v>
      </c>
      <c r="J211" s="108">
        <v>0</v>
      </c>
      <c r="K211" s="146">
        <v>0</v>
      </c>
      <c r="L211" s="497">
        <f>C211+F211+G211+K211</f>
        <v>181.19904000000002</v>
      </c>
      <c r="M211" s="497"/>
      <c r="N211" s="501">
        <v>0</v>
      </c>
      <c r="O211" s="502"/>
      <c r="P211" s="502"/>
      <c r="Q211" s="502"/>
      <c r="R211" s="502"/>
      <c r="S211" s="502"/>
      <c r="T211" s="502"/>
      <c r="U211" s="502"/>
      <c r="V211" s="502"/>
      <c r="W211" s="503"/>
      <c r="X211" s="110"/>
      <c r="Y211" s="111"/>
      <c r="Z211" s="109"/>
      <c r="AA211" s="109"/>
      <c r="AB211" s="109"/>
      <c r="AC211" s="110"/>
      <c r="AD211" s="489"/>
      <c r="AE211" s="489"/>
      <c r="AF211" s="104"/>
    </row>
    <row r="212" spans="1:32" ht="12.75">
      <c r="A212" s="68"/>
      <c r="B212" s="71" t="s">
        <v>145</v>
      </c>
      <c r="C212" s="145">
        <f>D212*E212</f>
        <v>0</v>
      </c>
      <c r="D212" s="143"/>
      <c r="E212" s="139">
        <v>0</v>
      </c>
      <c r="F212" s="146">
        <v>0</v>
      </c>
      <c r="G212" s="147">
        <f>H212*I212*J212</f>
        <v>0</v>
      </c>
      <c r="H212" s="139">
        <v>0</v>
      </c>
      <c r="I212" s="139">
        <v>0</v>
      </c>
      <c r="J212" s="139">
        <v>0</v>
      </c>
      <c r="K212" s="146">
        <v>0</v>
      </c>
      <c r="L212" s="497">
        <f>C212+F212+G212+K212</f>
        <v>0</v>
      </c>
      <c r="M212" s="497"/>
      <c r="N212" s="501"/>
      <c r="O212" s="502"/>
      <c r="P212" s="502"/>
      <c r="Q212" s="502"/>
      <c r="R212" s="502"/>
      <c r="S212" s="502"/>
      <c r="T212" s="502"/>
      <c r="U212" s="502"/>
      <c r="V212" s="502"/>
      <c r="W212" s="503"/>
      <c r="X212" s="110"/>
      <c r="Y212" s="111"/>
      <c r="Z212" s="109"/>
      <c r="AA212" s="109"/>
      <c r="AB212" s="109"/>
      <c r="AC212" s="110"/>
      <c r="AD212" s="489"/>
      <c r="AE212" s="489"/>
      <c r="AF212" s="104"/>
    </row>
    <row r="213" spans="1:32" ht="25.5">
      <c r="A213" s="72" t="s">
        <v>146</v>
      </c>
      <c r="B213" s="71" t="s">
        <v>147</v>
      </c>
      <c r="C213" s="126" t="s">
        <v>53</v>
      </c>
      <c r="D213" s="126" t="s">
        <v>53</v>
      </c>
      <c r="E213" s="126" t="s">
        <v>53</v>
      </c>
      <c r="F213" s="126" t="s">
        <v>53</v>
      </c>
      <c r="G213" s="126" t="s">
        <v>53</v>
      </c>
      <c r="H213" s="126" t="s">
        <v>53</v>
      </c>
      <c r="I213" s="126" t="s">
        <v>53</v>
      </c>
      <c r="J213" s="126" t="s">
        <v>53</v>
      </c>
      <c r="K213" s="126" t="s">
        <v>53</v>
      </c>
      <c r="L213" s="490"/>
      <c r="M213" s="490"/>
      <c r="N213" s="491"/>
      <c r="O213" s="492"/>
      <c r="P213" s="492"/>
      <c r="Q213" s="492"/>
      <c r="R213" s="492"/>
      <c r="S213" s="492"/>
      <c r="T213" s="492"/>
      <c r="U213" s="492"/>
      <c r="V213" s="492"/>
      <c r="W213" s="493"/>
      <c r="X213" s="105"/>
      <c r="Y213" s="105"/>
      <c r="Z213" s="105"/>
      <c r="AA213" s="105"/>
      <c r="AB213" s="105"/>
      <c r="AC213" s="105"/>
      <c r="AD213" s="494"/>
      <c r="AE213" s="494"/>
      <c r="AF213" s="104"/>
    </row>
    <row r="214" spans="1:32" ht="12.75">
      <c r="A214" s="73" t="s">
        <v>148</v>
      </c>
      <c r="B214" s="71" t="s">
        <v>149</v>
      </c>
      <c r="C214" s="126" t="s">
        <v>53</v>
      </c>
      <c r="D214" s="126" t="s">
        <v>53</v>
      </c>
      <c r="E214" s="126" t="s">
        <v>53</v>
      </c>
      <c r="F214" s="126" t="s">
        <v>53</v>
      </c>
      <c r="G214" s="126" t="s">
        <v>53</v>
      </c>
      <c r="H214" s="126" t="s">
        <v>53</v>
      </c>
      <c r="I214" s="126" t="s">
        <v>53</v>
      </c>
      <c r="J214" s="126" t="s">
        <v>53</v>
      </c>
      <c r="K214" s="126" t="s">
        <v>53</v>
      </c>
      <c r="L214" s="490"/>
      <c r="M214" s="490"/>
      <c r="N214" s="491"/>
      <c r="O214" s="492"/>
      <c r="P214" s="492"/>
      <c r="Q214" s="492"/>
      <c r="R214" s="492"/>
      <c r="S214" s="492"/>
      <c r="T214" s="492"/>
      <c r="U214" s="492"/>
      <c r="V214" s="492"/>
      <c r="W214" s="493"/>
      <c r="X214" s="105"/>
      <c r="Y214" s="105"/>
      <c r="Z214" s="105"/>
      <c r="AA214" s="105"/>
      <c r="AB214" s="105"/>
      <c r="AC214" s="105"/>
      <c r="AD214" s="316"/>
      <c r="AE214" s="316"/>
      <c r="AF214" s="104"/>
    </row>
    <row r="215" spans="1:32" ht="25.5">
      <c r="A215" s="74">
        <v>3</v>
      </c>
      <c r="B215" s="66" t="s">
        <v>150</v>
      </c>
      <c r="C215" s="126" t="s">
        <v>53</v>
      </c>
      <c r="D215" s="126" t="s">
        <v>53</v>
      </c>
      <c r="E215" s="126" t="s">
        <v>53</v>
      </c>
      <c r="F215" s="126" t="s">
        <v>53</v>
      </c>
      <c r="G215" s="126" t="s">
        <v>53</v>
      </c>
      <c r="H215" s="126" t="s">
        <v>53</v>
      </c>
      <c r="I215" s="126" t="s">
        <v>53</v>
      </c>
      <c r="J215" s="126" t="s">
        <v>53</v>
      </c>
      <c r="K215" s="126" t="s">
        <v>53</v>
      </c>
      <c r="L215" s="490"/>
      <c r="M215" s="490"/>
      <c r="N215" s="491"/>
      <c r="O215" s="492"/>
      <c r="P215" s="492"/>
      <c r="Q215" s="492"/>
      <c r="R215" s="492"/>
      <c r="S215" s="492"/>
      <c r="T215" s="492"/>
      <c r="U215" s="492"/>
      <c r="V215" s="492"/>
      <c r="W215" s="493"/>
      <c r="X215" s="105"/>
      <c r="Y215" s="105"/>
      <c r="Z215" s="105"/>
      <c r="AA215" s="105"/>
      <c r="AB215" s="105"/>
      <c r="AC215" s="105"/>
      <c r="AD215" s="316"/>
      <c r="AE215" s="316"/>
      <c r="AF215" s="104"/>
    </row>
    <row r="216" spans="1:32" ht="12.75">
      <c r="A216" s="12"/>
      <c r="B216" s="76" t="s">
        <v>151</v>
      </c>
      <c r="C216" s="113" t="s">
        <v>53</v>
      </c>
      <c r="D216" s="113" t="s">
        <v>53</v>
      </c>
      <c r="E216" s="113" t="s">
        <v>53</v>
      </c>
      <c r="F216" s="113" t="s">
        <v>53</v>
      </c>
      <c r="G216" s="113" t="s">
        <v>53</v>
      </c>
      <c r="H216" s="113" t="s">
        <v>53</v>
      </c>
      <c r="I216" s="112"/>
      <c r="J216" s="113" t="s">
        <v>53</v>
      </c>
      <c r="K216" s="127"/>
      <c r="L216" s="504">
        <f>L205+L209+L215</f>
        <v>181.19904000000002</v>
      </c>
      <c r="M216" s="504"/>
      <c r="N216" s="505">
        <f>N205+N209</f>
        <v>0</v>
      </c>
      <c r="O216" s="506"/>
      <c r="P216" s="506"/>
      <c r="Q216" s="506"/>
      <c r="R216" s="506"/>
      <c r="S216" s="506"/>
      <c r="T216" s="506"/>
      <c r="U216" s="506"/>
      <c r="V216" s="506"/>
      <c r="W216" s="507"/>
      <c r="X216" s="115"/>
      <c r="Y216" s="115"/>
      <c r="Z216" s="114"/>
      <c r="AA216" s="114"/>
      <c r="AB216" s="114"/>
      <c r="AC216" s="115"/>
      <c r="AD216" s="489"/>
      <c r="AE216" s="489"/>
      <c r="AF216" s="104"/>
    </row>
    <row r="217" spans="1:32" ht="12.75">
      <c r="A217" s="62"/>
      <c r="B217" s="100"/>
      <c r="C217" s="134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0"/>
      <c r="O217" s="100"/>
      <c r="W217" s="116"/>
      <c r="X217" s="104"/>
      <c r="Y217" s="104"/>
      <c r="Z217" s="104"/>
      <c r="AA217" s="104"/>
      <c r="AB217" s="104"/>
      <c r="AC217" s="104"/>
      <c r="AD217" s="104"/>
      <c r="AE217" s="104"/>
      <c r="AF217" s="104"/>
    </row>
    <row r="218" spans="1:23" ht="18.75">
      <c r="A218" s="102"/>
      <c r="B218" s="117" t="s">
        <v>166</v>
      </c>
      <c r="C218" s="134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0"/>
      <c r="O218" s="100"/>
      <c r="W218" s="100"/>
    </row>
    <row r="219" spans="1:23" ht="12.75" hidden="1">
      <c r="A219" s="102"/>
      <c r="B219" s="100"/>
      <c r="C219" s="134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0"/>
      <c r="O219" s="100"/>
      <c r="W219" s="100"/>
    </row>
    <row r="220" spans="1:23" ht="12.75" hidden="1">
      <c r="A220" s="102"/>
      <c r="B220" s="100"/>
      <c r="C220" s="134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0"/>
      <c r="O220" s="100"/>
      <c r="W220" s="100"/>
    </row>
    <row r="221" spans="1:23" ht="12.75" hidden="1">
      <c r="A221" s="102"/>
      <c r="B221" s="100"/>
      <c r="C221" s="134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0"/>
      <c r="O221" s="100"/>
      <c r="W221" s="100"/>
    </row>
    <row r="222" spans="1:23" ht="12.75" hidden="1">
      <c r="A222" s="102"/>
      <c r="B222" s="100"/>
      <c r="C222" s="134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0"/>
      <c r="O222" s="100"/>
      <c r="W222" s="100"/>
    </row>
    <row r="223" spans="1:23" ht="12.75" hidden="1">
      <c r="A223" s="102"/>
      <c r="B223" s="100"/>
      <c r="C223" s="134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0"/>
      <c r="O223" s="100"/>
      <c r="W223" s="100"/>
    </row>
    <row r="224" spans="1:23" ht="12.75" hidden="1">
      <c r="A224" s="102"/>
      <c r="B224" s="100"/>
      <c r="C224" s="134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0"/>
      <c r="O224" s="100"/>
      <c r="W224" s="100"/>
    </row>
    <row r="225" spans="1:23" ht="12.75" hidden="1">
      <c r="A225" s="102"/>
      <c r="B225" s="100"/>
      <c r="C225" s="134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0"/>
      <c r="O225" s="100"/>
      <c r="W225" s="100"/>
    </row>
    <row r="226" spans="1:23" ht="12.75" hidden="1">
      <c r="A226" s="102"/>
      <c r="B226" s="100"/>
      <c r="C226" s="134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0"/>
      <c r="O226" s="100"/>
      <c r="W226" s="100"/>
    </row>
    <row r="227" spans="1:23" ht="18.75" hidden="1">
      <c r="A227" s="102"/>
      <c r="B227" s="117"/>
      <c r="C227" s="134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0"/>
      <c r="O227" s="100"/>
      <c r="W227" s="100"/>
    </row>
    <row r="228" spans="1:23" ht="18.75" hidden="1">
      <c r="A228" s="102"/>
      <c r="B228" s="117"/>
      <c r="C228" s="134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0"/>
      <c r="O228" s="100"/>
      <c r="W228" s="100"/>
    </row>
    <row r="229" spans="1:23" ht="18.75" hidden="1">
      <c r="A229" s="102"/>
      <c r="B229" s="117"/>
      <c r="C229" s="134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0"/>
      <c r="O229" s="100"/>
      <c r="W229" s="100"/>
    </row>
    <row r="230" spans="1:23" ht="18.75" hidden="1">
      <c r="A230" s="102"/>
      <c r="B230" s="117"/>
      <c r="C230" s="134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0"/>
      <c r="O230" s="100"/>
      <c r="W230" s="100"/>
    </row>
    <row r="231" spans="1:23" ht="18.75" hidden="1">
      <c r="A231" s="102"/>
      <c r="B231" s="117"/>
      <c r="C231" s="134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100"/>
      <c r="W231" s="100"/>
    </row>
    <row r="232" ht="18.75" hidden="1">
      <c r="B232" s="118"/>
    </row>
    <row r="233" ht="18.75" hidden="1">
      <c r="B233" s="118"/>
    </row>
    <row r="234" ht="18.75" hidden="1">
      <c r="B234" s="118"/>
    </row>
    <row r="235" ht="18.75">
      <c r="B235" s="118" t="s">
        <v>167</v>
      </c>
    </row>
    <row r="236" ht="18.75">
      <c r="B236" s="118" t="s">
        <v>168</v>
      </c>
    </row>
  </sheetData>
  <sheetProtection/>
  <mergeCells count="123">
    <mergeCell ref="L213:M213"/>
    <mergeCell ref="N213:W213"/>
    <mergeCell ref="AD213:AE213"/>
    <mergeCell ref="AD216:AE216"/>
    <mergeCell ref="L214:M214"/>
    <mergeCell ref="N214:W214"/>
    <mergeCell ref="L215:M215"/>
    <mergeCell ref="N215:W215"/>
    <mergeCell ref="L216:M216"/>
    <mergeCell ref="N216:W216"/>
    <mergeCell ref="AD211:AE211"/>
    <mergeCell ref="L212:M212"/>
    <mergeCell ref="N212:W212"/>
    <mergeCell ref="AD212:AE212"/>
    <mergeCell ref="L210:M210"/>
    <mergeCell ref="N210:W210"/>
    <mergeCell ref="L211:M211"/>
    <mergeCell ref="N211:W211"/>
    <mergeCell ref="L208:M208"/>
    <mergeCell ref="N208:W208"/>
    <mergeCell ref="AD208:AE208"/>
    <mergeCell ref="L209:M209"/>
    <mergeCell ref="N209:W209"/>
    <mergeCell ref="L206:M206"/>
    <mergeCell ref="N206:W206"/>
    <mergeCell ref="AD206:AE206"/>
    <mergeCell ref="L207:M207"/>
    <mergeCell ref="N207:W207"/>
    <mergeCell ref="AD207:AE207"/>
    <mergeCell ref="L204:M204"/>
    <mergeCell ref="N204:W204"/>
    <mergeCell ref="AD204:AE204"/>
    <mergeCell ref="L205:M205"/>
    <mergeCell ref="N205:W205"/>
    <mergeCell ref="AD205:AE205"/>
    <mergeCell ref="A201:V201"/>
    <mergeCell ref="L203:M203"/>
    <mergeCell ref="N203:W203"/>
    <mergeCell ref="AD203:AE203"/>
    <mergeCell ref="A195:E195"/>
    <mergeCell ref="F195:G195"/>
    <mergeCell ref="N195:W195"/>
    <mergeCell ref="A196:W196"/>
    <mergeCell ref="A188:J188"/>
    <mergeCell ref="N188:W188"/>
    <mergeCell ref="A191:E191"/>
    <mergeCell ref="H191:J191"/>
    <mergeCell ref="N191:W191"/>
    <mergeCell ref="B185:D185"/>
    <mergeCell ref="M185:N185"/>
    <mergeCell ref="O185:W185"/>
    <mergeCell ref="B186:D186"/>
    <mergeCell ref="M186:N186"/>
    <mergeCell ref="O186:W186"/>
    <mergeCell ref="M183:N183"/>
    <mergeCell ref="O183:W183"/>
    <mergeCell ref="B184:D184"/>
    <mergeCell ref="M184:N184"/>
    <mergeCell ref="O184:W184"/>
    <mergeCell ref="M181:N181"/>
    <mergeCell ref="O181:W181"/>
    <mergeCell ref="M182:N182"/>
    <mergeCell ref="O182:W182"/>
    <mergeCell ref="M179:N179"/>
    <mergeCell ref="O179:W179"/>
    <mergeCell ref="M180:N180"/>
    <mergeCell ref="O180:W180"/>
    <mergeCell ref="M177:N177"/>
    <mergeCell ref="O177:W177"/>
    <mergeCell ref="M178:N178"/>
    <mergeCell ref="O178:W178"/>
    <mergeCell ref="M175:N175"/>
    <mergeCell ref="O175:W175"/>
    <mergeCell ref="M176:N176"/>
    <mergeCell ref="O176:W176"/>
    <mergeCell ref="M173:N173"/>
    <mergeCell ref="O173:W173"/>
    <mergeCell ref="M174:N174"/>
    <mergeCell ref="O174:W174"/>
    <mergeCell ref="M171:N171"/>
    <mergeCell ref="O171:W171"/>
    <mergeCell ref="M172:N172"/>
    <mergeCell ref="O172:W172"/>
    <mergeCell ref="O168:W170"/>
    <mergeCell ref="I169:J169"/>
    <mergeCell ref="L169:N169"/>
    <mergeCell ref="M170:N170"/>
    <mergeCell ref="B165:W165"/>
    <mergeCell ref="A166:B166"/>
    <mergeCell ref="A167:W167"/>
    <mergeCell ref="A168:A170"/>
    <mergeCell ref="B168:B170"/>
    <mergeCell ref="C168:C170"/>
    <mergeCell ref="H168:H170"/>
    <mergeCell ref="I168:J168"/>
    <mergeCell ref="K168:K170"/>
    <mergeCell ref="L168:N168"/>
    <mergeCell ref="W19:W22"/>
    <mergeCell ref="B154:C154"/>
    <mergeCell ref="B155:C155"/>
    <mergeCell ref="B156:C156"/>
    <mergeCell ref="N5:N6"/>
    <mergeCell ref="O5:O6"/>
    <mergeCell ref="P5:V5"/>
    <mergeCell ref="W8:W17"/>
    <mergeCell ref="H5:H6"/>
    <mergeCell ref="I5:I6"/>
    <mergeCell ref="J5:K5"/>
    <mergeCell ref="L5:M5"/>
    <mergeCell ref="D5:D6"/>
    <mergeCell ref="E5:E6"/>
    <mergeCell ref="F5:F6"/>
    <mergeCell ref="G5:G6"/>
    <mergeCell ref="A1:W2"/>
    <mergeCell ref="A3:D3"/>
    <mergeCell ref="E3:W3"/>
    <mergeCell ref="A4:A6"/>
    <mergeCell ref="B4:B6"/>
    <mergeCell ref="C4:C6"/>
    <mergeCell ref="D4:E4"/>
    <mergeCell ref="F4:I4"/>
    <mergeCell ref="J4:V4"/>
    <mergeCell ref="W4:W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2012-10-25T03:21:26Z</cp:lastPrinted>
  <dcterms:created xsi:type="dcterms:W3CDTF">1996-10-08T23:32:33Z</dcterms:created>
  <dcterms:modified xsi:type="dcterms:W3CDTF">2013-01-14T08:54:29Z</dcterms:modified>
  <cp:category/>
  <cp:version/>
  <cp:contentType/>
  <cp:contentStatus/>
</cp:coreProperties>
</file>